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20.xml"/>
  <Override ContentType="application/vnd.openxmlformats-officedocument.spreadsheetml.worksheet+xml" PartName="/xl/worksheets/sheet21.xml"/>
  <Override ContentType="application/vnd.openxmlformats-officedocument.spreadsheetml.worksheet+xml" PartName="/xl/worksheets/sheet22.xml"/>
  <Override ContentType="application/vnd.openxmlformats-officedocument.spreadsheetml.worksheet+xml" PartName="/xl/worksheets/sheet23.xml"/>
  <Override ContentType="application/vnd.openxmlformats-officedocument.spreadsheetml.worksheet+xml" PartName="/xl/worksheets/sheet24.xml"/>
  <Override ContentType="application/vnd.openxmlformats-officedocument.spreadsheetml.worksheet+xml" PartName="/xl/worksheets/sheet25.xml"/>
  <Override ContentType="application/vnd.openxmlformats-officedocument.spreadsheetml.worksheet+xml" PartName="/xl/worksheets/sheet26.xml"/>
  <Override ContentType="application/vnd.openxmlformats-officedocument.spreadsheetml.worksheet+xml" PartName="/xl/worksheets/sheet27.xml"/>
  <Override ContentType="application/vnd.openxmlformats-officedocument.spreadsheetml.worksheet+xml" PartName="/xl/worksheets/sheet28.xml"/>
  <Override ContentType="application/vnd.openxmlformats-officedocument.spreadsheetml.worksheet+xml" PartName="/xl/worksheets/sheet29.xml"/>
  <Override ContentType="application/vnd.openxmlformats-officedocument.spreadsheetml.worksheet+xml" PartName="/xl/worksheets/sheet3.xml"/>
  <Override ContentType="application/vnd.openxmlformats-officedocument.spreadsheetml.worksheet+xml" PartName="/xl/worksheets/sheet30.xml"/>
  <Override ContentType="application/vnd.openxmlformats-officedocument.spreadsheetml.worksheet+xml" PartName="/xl/worksheets/sheet31.xml"/>
  <Override ContentType="application/vnd.openxmlformats-officedocument.spreadsheetml.worksheet+xml" PartName="/xl/worksheets/sheet32.xml"/>
  <Override ContentType="application/vnd.openxmlformats-officedocument.spreadsheetml.worksheet+xml" PartName="/xl/worksheets/sheet33.xml"/>
  <Override ContentType="application/vnd.openxmlformats-officedocument.spreadsheetml.worksheet+xml" PartName="/xl/worksheets/sheet34.xml"/>
  <Override ContentType="application/vnd.openxmlformats-officedocument.spreadsheetml.worksheet+xml" PartName="/xl/worksheets/sheet35.xml"/>
  <Override ContentType="application/vnd.openxmlformats-officedocument.spreadsheetml.worksheet+xml" PartName="/xl/worksheets/sheet36.xml"/>
  <Override ContentType="application/vnd.openxmlformats-officedocument.spreadsheetml.worksheet+xml" PartName="/xl/worksheets/sheet37.xml"/>
  <Override ContentType="application/vnd.openxmlformats-officedocument.spreadsheetml.worksheet+xml" PartName="/xl/worksheets/sheet38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</Types>
</file>

<file path=_rels/.rels><?xml version="1.0" encoding="UTF-8" standalone="yes"?>
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100" windowHeight="7760" tabRatio="597" firstSheet="30" activeTab="37"/>
  </bookViews>
  <sheets>
    <sheet name="April 2011" sheetId="1" r:id="rId1"/>
    <sheet name="May 2011" sheetId="2" r:id="rId2"/>
    <sheet name="JUNE" sheetId="3" r:id="rId3"/>
    <sheet name="July" sheetId="4" r:id="rId4"/>
    <sheet name="August" sheetId="5" r:id="rId5"/>
    <sheet name="Sept" sheetId="6" r:id="rId6"/>
    <sheet name="Oct" sheetId="7" r:id="rId7"/>
    <sheet name="Nov" sheetId="8" r:id="rId8"/>
    <sheet name="Dec" sheetId="9" r:id="rId9"/>
    <sheet name="Jan" sheetId="10" r:id="rId10"/>
    <sheet name="Feb" sheetId="11" r:id="rId11"/>
    <sheet name="Mar" sheetId="12" r:id="rId12"/>
    <sheet name="April" sheetId="13" r:id="rId13"/>
    <sheet name="May" sheetId="14" r:id="rId14"/>
    <sheet name="June2012" sheetId="15" r:id="rId15"/>
    <sheet name="Sheet1" sheetId="16" state="hidden" r:id="rId16"/>
    <sheet name="July12" sheetId="17" r:id="rId17"/>
    <sheet name=" August 12" sheetId="18" r:id="rId18"/>
    <sheet name="September 12" sheetId="19" r:id="rId19"/>
    <sheet name="Oct 12" sheetId="20" r:id="rId20"/>
    <sheet name="NOV12" sheetId="21" r:id="rId21"/>
    <sheet name="Dec 12" sheetId="22" r:id="rId22"/>
    <sheet name="JAN13" sheetId="23" r:id="rId23"/>
    <sheet name="FEB 13" sheetId="24" r:id="rId24"/>
    <sheet name="MAR 13" sheetId="25" r:id="rId25"/>
    <sheet name="APR 13" sheetId="26" r:id="rId26"/>
    <sheet name="MAY13" sheetId="27" r:id="rId27"/>
    <sheet name="JUNE 13" sheetId="28" r:id="rId28"/>
    <sheet name=" JULY 13" sheetId="29" r:id="rId29"/>
    <sheet name="AUGUST 13" sheetId="30" r:id="rId30"/>
    <sheet name="SEPT 13" sheetId="31" r:id="rId31"/>
    <sheet name="OCT 13" sheetId="32" r:id="rId32"/>
    <sheet name="NOV 13" sheetId="33" r:id="rId33"/>
    <sheet name="DEC 13" sheetId="34" r:id="rId34"/>
    <sheet name="JAN14" sheetId="35" r:id="rId35"/>
    <sheet name="FEB14" sheetId="36" r:id="rId36"/>
    <sheet name="MAR 14" sheetId="37" r:id="rId37"/>
    <sheet name="APRIL 14" sheetId="38" r:id="rId38"/>
  </sheets>
  <calcPr calcId="144525"/>
</workbook>
</file>

<file path=xl/sharedStrings.xml><?xml version="1.0" encoding="utf-8"?>
<sst xmlns="http://schemas.openxmlformats.org/spreadsheetml/2006/main" count="419">
  <si>
    <t>1  APR   4.15 PM</t>
  </si>
  <si>
    <t xml:space="preserve"> MM DAILY BUSINESS REPORT  - APRIL 2011</t>
  </si>
  <si>
    <t xml:space="preserve">MTD TOTAL BIZ </t>
  </si>
  <si>
    <t>Passbook updtd:</t>
  </si>
  <si>
    <t>AX: 155    BX:5</t>
  </si>
  <si>
    <t>GROUPS :</t>
  </si>
  <si>
    <t xml:space="preserve">TOT.PAYOUT </t>
  </si>
  <si>
    <t xml:space="preserve">COLLN: </t>
  </si>
  <si>
    <t>LAKHS</t>
  </si>
  <si>
    <t>TERMINATION:2</t>
  </si>
  <si>
    <t>TOTAL PAYMENT</t>
  </si>
  <si>
    <t>AX:62</t>
  </si>
  <si>
    <t>BX:7</t>
  </si>
  <si>
    <t>BUSINESS REPORT</t>
  </si>
  <si>
    <t>WEEKLY TARGETS</t>
  </si>
  <si>
    <t>ACHIEVEMENTS</t>
  </si>
  <si>
    <t xml:space="preserve">EMPLOYEE NAME </t>
  </si>
  <si>
    <t>MTD TGT</t>
  </si>
  <si>
    <t>WEEK 1 
(1 - 7)</t>
  </si>
  <si>
    <t>WEEK 2
(8  - 14)</t>
  </si>
  <si>
    <t>WEEK 3 
(15  - 21)</t>
  </si>
  <si>
    <t>WEEK 4 
(22 - 28)</t>
  </si>
  <si>
    <t>MTD TOTAL</t>
  </si>
  <si>
    <t>MTD Deviation</t>
  </si>
  <si>
    <t>PBU</t>
  </si>
  <si>
    <t>PRASAD- BM</t>
  </si>
  <si>
    <t>ANOOP –BA</t>
  </si>
  <si>
    <t>SYAMDAS –BA</t>
  </si>
  <si>
    <t>BINDHU – BA</t>
  </si>
  <si>
    <t>SOBHANA-BA</t>
  </si>
  <si>
    <t>RAJESH –BM</t>
  </si>
  <si>
    <t>RETHEESH –BA</t>
  </si>
  <si>
    <t>PRASANNA – BA</t>
  </si>
  <si>
    <t>ANIL- RO</t>
  </si>
  <si>
    <t>AJI</t>
  </si>
  <si>
    <t>LATHIKA</t>
  </si>
  <si>
    <t>PRAKASH</t>
  </si>
  <si>
    <t>SAMKUTTY</t>
  </si>
  <si>
    <t>MM/Office</t>
  </si>
  <si>
    <t xml:space="preserve">TOTAL BUSINESS </t>
  </si>
  <si>
    <t>COLLECTION REPORT</t>
  </si>
  <si>
    <t>MTD DEVIATION</t>
  </si>
  <si>
    <t>% ACHMT</t>
  </si>
  <si>
    <t>PRAKASH-BA</t>
  </si>
  <si>
    <t>TOTAL COLLECTION</t>
  </si>
  <si>
    <t>31  MAY   4.00PM</t>
  </si>
  <si>
    <t xml:space="preserve"> MM DAILY BUSINESS REPORT  - MAY 2011</t>
  </si>
  <si>
    <t>AX: 116   BX:8</t>
  </si>
  <si>
    <t>TERMINATION:3.5</t>
  </si>
  <si>
    <t>AX:71</t>
  </si>
  <si>
    <t>BX:9</t>
  </si>
  <si>
    <t>PRAKASH-</t>
  </si>
  <si>
    <t xml:space="preserve"> 1  JULY   3.15 PM</t>
  </si>
  <si>
    <t xml:space="preserve"> MM DAILY BUSINESS REPORT  -  JUNE 2011</t>
  </si>
  <si>
    <t>AX:132   BX:29</t>
  </si>
  <si>
    <t>BX:10</t>
  </si>
  <si>
    <t>WEEK 4 
(22 -30)</t>
  </si>
  <si>
    <t>WEEK 4 
(22 - 30)</t>
  </si>
  <si>
    <t xml:space="preserve"> 31 JULY   3.30 PM</t>
  </si>
  <si>
    <t xml:space="preserve"> MM DAILY BUSINESS REPORT  -  JULY 2011</t>
  </si>
  <si>
    <t>AX:152  BX:13</t>
  </si>
  <si>
    <t>TOT.PAYOUT :6737500</t>
  </si>
  <si>
    <t>AX :68</t>
  </si>
  <si>
    <t>BX:14</t>
  </si>
  <si>
    <t>WEEK 3 
(15  - 22)</t>
  </si>
  <si>
    <t>WEEK 4 
(23 - 30)</t>
  </si>
  <si>
    <t xml:space="preserve"> 1  Sept  4.00 PM</t>
  </si>
  <si>
    <t xml:space="preserve"> MM DAILY BUSINESS REPORT  -  AUG 2011</t>
  </si>
  <si>
    <t>AX:149   BX:6</t>
  </si>
  <si>
    <t>TOT.PAYOUT :7302750</t>
  </si>
  <si>
    <t>TERMINATION:3</t>
  </si>
  <si>
    <t>AX :82</t>
  </si>
  <si>
    <t>BX:5</t>
  </si>
  <si>
    <t>WEEK 2
(8  - 15)</t>
  </si>
  <si>
    <t>WEEK 3 
(16  - 22)</t>
  </si>
  <si>
    <t>WEEK 4 
(23 - 31)</t>
  </si>
  <si>
    <t xml:space="preserve"> MM DAILY BUSINESS REPORT  -  SEPT 2011</t>
  </si>
  <si>
    <t>AX:155  BX:10</t>
  </si>
  <si>
    <t>TOT.PAYOUT :</t>
  </si>
  <si>
    <t>TERMINATION:2.5</t>
  </si>
  <si>
    <t>AX :75</t>
  </si>
  <si>
    <t>BX:22</t>
  </si>
  <si>
    <t>01  NOV   3.45 PM</t>
  </si>
  <si>
    <t xml:space="preserve"> MM DAILY BUSINESS REPORT  -  OCT 2011</t>
  </si>
  <si>
    <t>AX:186  BX:20</t>
  </si>
  <si>
    <t>TERMINATION:</t>
  </si>
  <si>
    <t>AX :106</t>
  </si>
  <si>
    <t>GANGA SIVAKUMAR</t>
  </si>
  <si>
    <t>PRASHOB R</t>
  </si>
  <si>
    <t>30  NOV   03.22 PM</t>
  </si>
  <si>
    <r>
      <rPr>
        <b/>
        <sz val="10"/>
        <rFont val="Calibri"/>
        <family val="2"/>
        <charset val="134"/>
      </rPr>
      <t xml:space="preserve"> </t>
    </r>
    <r>
      <rPr>
        <b/>
        <sz val="10"/>
        <color indexed="10"/>
        <rFont val="Calibri"/>
        <family val="2"/>
        <charset val="134"/>
      </rPr>
      <t>MM DAILY BUSINESS REPORT  -  OCT 2011</t>
    </r>
  </si>
  <si>
    <t>AX:177   BX:27</t>
  </si>
  <si>
    <t>AX :92</t>
  </si>
  <si>
    <t>31  DEC   03.00PM</t>
  </si>
  <si>
    <r>
      <rPr>
        <b/>
        <sz val="10"/>
        <rFont val="Calibri"/>
        <family val="2"/>
        <charset val="134"/>
      </rPr>
      <t xml:space="preserve"> </t>
    </r>
    <r>
      <rPr>
        <b/>
        <sz val="10"/>
        <color indexed="10"/>
        <rFont val="Calibri"/>
        <family val="2"/>
        <charset val="134"/>
      </rPr>
      <t>MM DAILY BUSINESS REPORT  -  DEC 2011</t>
    </r>
  </si>
  <si>
    <t>AX:200  BX:25</t>
  </si>
  <si>
    <t>AX :109</t>
  </si>
  <si>
    <t>BX:19</t>
  </si>
  <si>
    <t>AJI-BA</t>
  </si>
  <si>
    <t>1 FEB   03.22 PM</t>
  </si>
  <si>
    <r>
      <rPr>
        <b/>
        <sz val="10"/>
        <rFont val="Calibri"/>
        <family val="2"/>
        <charset val="134"/>
      </rPr>
      <t xml:space="preserve"> </t>
    </r>
    <r>
      <rPr>
        <b/>
        <sz val="10"/>
        <color indexed="10"/>
        <rFont val="Calibri"/>
        <family val="2"/>
        <charset val="134"/>
      </rPr>
      <t>MM DAILY BUSINESS REPORT  -  JAN 2012</t>
    </r>
  </si>
  <si>
    <t>AX: 197   BX:26</t>
  </si>
  <si>
    <t>TERMINATION:5</t>
  </si>
  <si>
    <t>AX :119</t>
  </si>
  <si>
    <t>BX:4</t>
  </si>
  <si>
    <t>WEEK 3 
(16  - 23)</t>
  </si>
  <si>
    <t>WEEK 4 
(24 -31)</t>
  </si>
  <si>
    <t>WEEK 4 
(24 - 31)</t>
  </si>
  <si>
    <t>1 MAR   04.48 PM</t>
  </si>
  <si>
    <r>
      <rPr>
        <b/>
        <sz val="10"/>
        <rFont val="Calibri"/>
        <family val="2"/>
        <charset val="134"/>
      </rPr>
      <t xml:space="preserve"> </t>
    </r>
    <r>
      <rPr>
        <b/>
        <sz val="10"/>
        <color indexed="10"/>
        <rFont val="Calibri"/>
        <family val="2"/>
        <charset val="134"/>
      </rPr>
      <t>MM DAILY BUSINESS REPORT  -  FEB 2012</t>
    </r>
  </si>
  <si>
    <t>AX:173    BX:25</t>
  </si>
  <si>
    <t>TERMINATION:5.5</t>
  </si>
  <si>
    <t>AX:109</t>
  </si>
  <si>
    <t>BX:11</t>
  </si>
  <si>
    <t>WEEK 4 
(23 -29)</t>
  </si>
  <si>
    <t>WEEK 4 
(23 - 29)</t>
  </si>
  <si>
    <t>31 MAR   05.16 PM</t>
  </si>
  <si>
    <r>
      <rPr>
        <b/>
        <sz val="10"/>
        <rFont val="Calibri"/>
        <family val="2"/>
        <charset val="134"/>
      </rPr>
      <t xml:space="preserve"> </t>
    </r>
    <r>
      <rPr>
        <b/>
        <sz val="10"/>
        <color indexed="10"/>
        <rFont val="Calibri"/>
        <family val="2"/>
        <charset val="134"/>
      </rPr>
      <t>MM DAILY BUSINESS REPORT  -  MAR 2012</t>
    </r>
  </si>
  <si>
    <t>AX:181  BX:17</t>
  </si>
  <si>
    <t>GROUPS :9.5</t>
  </si>
  <si>
    <t>AX:120</t>
  </si>
  <si>
    <t>BX:16</t>
  </si>
  <si>
    <t>WEEK 2
(8  - 16)</t>
  </si>
  <si>
    <t>WEEK 3 
(17  - 23)</t>
  </si>
  <si>
    <t>WEEK 3 
(17 - 23)</t>
  </si>
  <si>
    <t>30 APRIL   05.11 PM</t>
  </si>
  <si>
    <r>
      <rPr>
        <b/>
        <sz val="10"/>
        <rFont val="Calibri"/>
        <family val="2"/>
        <charset val="134"/>
      </rPr>
      <t xml:space="preserve"> </t>
    </r>
    <r>
      <rPr>
        <b/>
        <sz val="10"/>
        <color indexed="10"/>
        <rFont val="Calibri"/>
        <family val="2"/>
        <charset val="134"/>
      </rPr>
      <t>MM DAILY BUSINESS REPORT  -  APRIL 2012</t>
    </r>
  </si>
  <si>
    <t>AX:207    BX:12</t>
  </si>
  <si>
    <t>TERMINATION:4</t>
  </si>
  <si>
    <t>AX:118</t>
  </si>
  <si>
    <t>WEEK 4 
(24 -30)</t>
  </si>
  <si>
    <t>WEEK 4 
(24 - 30)</t>
  </si>
  <si>
    <t>SARATH</t>
  </si>
  <si>
    <t xml:space="preserve">SREEKUMAR </t>
  </si>
  <si>
    <t>SREEKUMAR/SUNU</t>
  </si>
  <si>
    <t>31 MAY   04.50 PM</t>
  </si>
  <si>
    <r>
      <rPr>
        <b/>
        <sz val="10"/>
        <rFont val="Calibri"/>
        <family val="2"/>
        <charset val="134"/>
      </rPr>
      <t xml:space="preserve"> </t>
    </r>
    <r>
      <rPr>
        <b/>
        <sz val="10"/>
        <color indexed="10"/>
        <rFont val="Calibri"/>
        <family val="2"/>
        <charset val="134"/>
      </rPr>
      <t>MM DAILY BUSINESS REPORT  -  MAY 2012</t>
    </r>
  </si>
  <si>
    <t>AX:144  BX:14</t>
  </si>
  <si>
    <t>GROUPS :11.5</t>
  </si>
  <si>
    <t>TERMINATION:4.5</t>
  </si>
  <si>
    <t>AX:117</t>
  </si>
  <si>
    <t>SUNI SATHEESH</t>
  </si>
  <si>
    <t>3 JULY   10.56 PM</t>
  </si>
  <si>
    <r>
      <rPr>
        <b/>
        <sz val="10"/>
        <rFont val="Calibri"/>
        <family val="2"/>
        <charset val="134"/>
      </rPr>
      <t xml:space="preserve"> </t>
    </r>
    <r>
      <rPr>
        <b/>
        <sz val="10"/>
        <color indexed="10"/>
        <rFont val="Calibri"/>
        <family val="2"/>
        <charset val="134"/>
      </rPr>
      <t>MM DAILY BUSINESS REPORT  -  JUNE 2012</t>
    </r>
  </si>
  <si>
    <t>OVER DUE TOTAL</t>
  </si>
  <si>
    <t xml:space="preserve">PRINCIPAL </t>
  </si>
  <si>
    <t>DIVIDENT</t>
  </si>
  <si>
    <t>INTREST</t>
  </si>
  <si>
    <t>AX:212   BX:18</t>
  </si>
  <si>
    <t>TERMINATION:7.5</t>
  </si>
  <si>
    <t>AX:121</t>
  </si>
  <si>
    <t>BX:13</t>
  </si>
  <si>
    <t>WEEK 1 
(1 - 8)</t>
  </si>
  <si>
    <t>WEEK 2
(9 - 16)</t>
  </si>
  <si>
    <t>WEEK 2
(9  - 16)</t>
  </si>
  <si>
    <t>WEEK 3
(17 - 23)</t>
  </si>
  <si>
    <t>JOHN MATHAI</t>
  </si>
  <si>
    <t>SHEENA</t>
  </si>
  <si>
    <t>31 JULY   5.29 PM</t>
  </si>
  <si>
    <r>
      <rPr>
        <b/>
        <sz val="10"/>
        <rFont val="Calibri"/>
        <family val="2"/>
        <charset val="134"/>
      </rPr>
      <t xml:space="preserve"> </t>
    </r>
    <r>
      <rPr>
        <b/>
        <sz val="10"/>
        <color indexed="10"/>
        <rFont val="Calibri"/>
        <family val="2"/>
        <charset val="134"/>
      </rPr>
      <t>MM DAILY BUSINESS REPORT  -  JULY 2012</t>
    </r>
  </si>
  <si>
    <t>TEAM</t>
  </si>
  <si>
    <t>TOTAL</t>
  </si>
  <si>
    <t>G: TOTAL</t>
  </si>
  <si>
    <t>AX:285  BX:19</t>
  </si>
  <si>
    <t>GROUPS :7.5</t>
  </si>
  <si>
    <t>AX:153</t>
  </si>
  <si>
    <t>GEETHA SUDHARARAN</t>
  </si>
  <si>
    <t>SHAMEENA</t>
  </si>
  <si>
    <t>AJI KUMAR</t>
  </si>
  <si>
    <t>MUREKESHAN NAIR</t>
  </si>
  <si>
    <t>RAJEESH</t>
  </si>
  <si>
    <t>TINTU A S</t>
  </si>
  <si>
    <t>RAJESH KUMAR</t>
  </si>
  <si>
    <t>JAYASREE</t>
  </si>
  <si>
    <t>1  SEP   1.30 PM</t>
  </si>
  <si>
    <r>
      <rPr>
        <b/>
        <sz val="10"/>
        <rFont val="Calibri"/>
        <family val="2"/>
        <charset val="134"/>
      </rPr>
      <t xml:space="preserve"> </t>
    </r>
    <r>
      <rPr>
        <b/>
        <sz val="10"/>
        <color indexed="10"/>
        <rFont val="Calibri"/>
        <family val="2"/>
        <charset val="134"/>
      </rPr>
      <t>MM DAILY BUSINESS REPORT  -  AUGUST 2012</t>
    </r>
  </si>
  <si>
    <t>AX:249  BX:5</t>
  </si>
  <si>
    <t>GROUPS :10.5</t>
  </si>
  <si>
    <t>AX:102</t>
  </si>
  <si>
    <t>WEEK 2
(8 - 16)</t>
  </si>
  <si>
    <t>WEEK 3 
(17  - 22)</t>
  </si>
  <si>
    <t>WEEK 4 
(24 -28)</t>
  </si>
  <si>
    <t>WEEK 3
(17 - 22)</t>
  </si>
  <si>
    <t>WEEK 4 
(24 - 28)</t>
  </si>
  <si>
    <t>ARUN BABU</t>
  </si>
  <si>
    <t>AKHIL</t>
  </si>
  <si>
    <t>02  OCT   12.54PM</t>
  </si>
  <si>
    <r>
      <rPr>
        <b/>
        <sz val="10"/>
        <rFont val="Calibri"/>
        <family val="2"/>
        <charset val="134"/>
      </rPr>
      <t xml:space="preserve"> </t>
    </r>
    <r>
      <rPr>
        <b/>
        <sz val="10"/>
        <color indexed="10"/>
        <rFont val="Calibri"/>
        <family val="2"/>
        <charset val="134"/>
      </rPr>
      <t>MM DAILY BUSINESS REPORT  -  SEPTEMBER 2012</t>
    </r>
  </si>
  <si>
    <t>AX:183   BX:10</t>
  </si>
  <si>
    <t>GROUPS :10</t>
  </si>
  <si>
    <t>AX:139</t>
  </si>
  <si>
    <t>MURUKESHAN NAIR</t>
  </si>
  <si>
    <t>PRASAD- SBA</t>
  </si>
  <si>
    <t>TINTU  A S</t>
  </si>
  <si>
    <t>SUNIL KUMAR S BM</t>
  </si>
  <si>
    <t>RAJESH –SBA</t>
  </si>
  <si>
    <t>SURENDRAN(R-1)</t>
  </si>
  <si>
    <t>PRAVEEN (R-2)</t>
  </si>
  <si>
    <t>KARUNAKARAN(R-3)</t>
  </si>
  <si>
    <t>RAJESH KUMAR(R-4)</t>
  </si>
  <si>
    <t>AKHIL(R-5)</t>
  </si>
  <si>
    <t>1  NOV   5:10PM</t>
  </si>
  <si>
    <r>
      <rPr>
        <b/>
        <sz val="10"/>
        <rFont val="Calibri"/>
        <family val="2"/>
        <charset val="134"/>
      </rPr>
      <t xml:space="preserve"> </t>
    </r>
    <r>
      <rPr>
        <b/>
        <sz val="10"/>
        <color indexed="10"/>
        <rFont val="Calibri"/>
        <family val="2"/>
        <charset val="134"/>
      </rPr>
      <t>MM DAILY BUSINESS REPORT  -  OCTOBER 2012</t>
    </r>
  </si>
  <si>
    <t>`</t>
  </si>
  <si>
    <t>AX:267  BX:11</t>
  </si>
  <si>
    <t>AX:156</t>
  </si>
  <si>
    <t>WEEK 4 
(23 -31)</t>
  </si>
  <si>
    <t>SAJITHA</t>
  </si>
  <si>
    <t>RAJU</t>
  </si>
  <si>
    <t>PRASANTH</t>
  </si>
  <si>
    <t>30  NOV   02:16PM</t>
  </si>
  <si>
    <r>
      <rPr>
        <b/>
        <sz val="10"/>
        <rFont val="Calibri"/>
        <family val="2"/>
        <charset val="134"/>
      </rPr>
      <t xml:space="preserve"> </t>
    </r>
    <r>
      <rPr>
        <b/>
        <sz val="10"/>
        <color indexed="10"/>
        <rFont val="Calibri"/>
        <family val="2"/>
        <charset val="134"/>
      </rPr>
      <t>MM DAILY BUSINESS REPORT  -   NOVEMBER 2012</t>
    </r>
  </si>
  <si>
    <t>AX:243  BX:10</t>
  </si>
  <si>
    <t>AX:112</t>
  </si>
  <si>
    <t>WEEK 4 
(23 -30)</t>
  </si>
  <si>
    <t xml:space="preserve">RAJESH BA </t>
  </si>
  <si>
    <t>PRASAD BA</t>
  </si>
  <si>
    <t>ANIL  BA</t>
  </si>
  <si>
    <t>MURUKESH NAIR BM</t>
  </si>
  <si>
    <t>RATHEESH</t>
  </si>
  <si>
    <t>TINTU</t>
  </si>
  <si>
    <t>MONISH</t>
  </si>
  <si>
    <t>SANTHOSH</t>
  </si>
  <si>
    <t>ANISH</t>
  </si>
  <si>
    <r>
      <rPr>
        <b/>
        <sz val="10"/>
        <rFont val="Calibri"/>
        <family val="2"/>
        <charset val="134"/>
      </rPr>
      <t xml:space="preserve"> </t>
    </r>
    <r>
      <rPr>
        <b/>
        <sz val="10"/>
        <color indexed="10"/>
        <rFont val="Calibri"/>
        <family val="2"/>
        <charset val="134"/>
      </rPr>
      <t>MM DAILY BUSINESS REPORT  -   DECEBER 2012</t>
    </r>
  </si>
  <si>
    <t>AX:140    BX:7</t>
  </si>
  <si>
    <t>AX:214</t>
  </si>
  <si>
    <t>BX:6</t>
  </si>
  <si>
    <t>WEEK 1 
(1 - 9)</t>
  </si>
  <si>
    <t>WEEK 2
(10 - 17)</t>
  </si>
  <si>
    <t>WEEK 3 
(18  - 24)</t>
  </si>
  <si>
    <t>WEEK 4 
(25 -31)</t>
  </si>
  <si>
    <t>WEEK 2
(10  - 17)</t>
  </si>
  <si>
    <t>WEEK 3
(18 - 24)</t>
  </si>
  <si>
    <t>WEEK 4 
(25 - 31)</t>
  </si>
  <si>
    <t>WEEK 2
(10- 17)</t>
  </si>
  <si>
    <t>WEEK 4 
(25 - 30)</t>
  </si>
  <si>
    <t>MANEESH</t>
  </si>
  <si>
    <t>31/1/2013</t>
  </si>
  <si>
    <r>
      <rPr>
        <b/>
        <sz val="10"/>
        <rFont val="Calibri"/>
        <family val="2"/>
        <charset val="134"/>
      </rPr>
      <t xml:space="preserve"> </t>
    </r>
    <r>
      <rPr>
        <b/>
        <sz val="10"/>
        <color indexed="10"/>
        <rFont val="Calibri"/>
        <family val="2"/>
        <charset val="134"/>
      </rPr>
      <t>MM DAILY BUSINESS REPORT  -   JAN 2013</t>
    </r>
  </si>
  <si>
    <t>AX:109    BX:6</t>
  </si>
  <si>
    <t>AX:146</t>
  </si>
  <si>
    <t>BX:8</t>
  </si>
  <si>
    <t>CE&amp;OTHERS</t>
  </si>
  <si>
    <t>SURESH</t>
  </si>
  <si>
    <r>
      <rPr>
        <b/>
        <sz val="10"/>
        <rFont val="Calibri"/>
        <family val="2"/>
        <charset val="134"/>
      </rPr>
      <t xml:space="preserve">                                                  </t>
    </r>
    <r>
      <rPr>
        <b/>
        <sz val="10"/>
        <color indexed="10"/>
        <rFont val="Calibri"/>
        <family val="2"/>
        <charset val="134"/>
      </rPr>
      <t>MM DAILY BUSINESS REPORT  -   FEB 2013</t>
    </r>
  </si>
  <si>
    <t>AX: 127 BX:4</t>
  </si>
  <si>
    <t>AX:124</t>
  </si>
  <si>
    <t>31/3/2013</t>
  </si>
  <si>
    <r>
      <rPr>
        <b/>
        <sz val="10"/>
        <rFont val="Calibri"/>
        <family val="2"/>
        <charset val="134"/>
      </rPr>
      <t xml:space="preserve"> </t>
    </r>
    <r>
      <rPr>
        <b/>
        <sz val="10"/>
        <color indexed="10"/>
        <rFont val="Calibri"/>
        <family val="2"/>
        <charset val="134"/>
      </rPr>
      <t>MM DAILY BUSINESS REPORT  -   MAR 2013</t>
    </r>
  </si>
  <si>
    <t>AX:87    BX:5</t>
  </si>
  <si>
    <t>AX:165</t>
  </si>
  <si>
    <t>BX:15</t>
  </si>
  <si>
    <t>30/4/2013</t>
  </si>
  <si>
    <r>
      <rPr>
        <b/>
        <sz val="10"/>
        <rFont val="Calibri"/>
        <family val="2"/>
        <charset val="134"/>
      </rPr>
      <t xml:space="preserve">                                                  </t>
    </r>
    <r>
      <rPr>
        <b/>
        <sz val="10"/>
        <color indexed="10"/>
        <rFont val="Calibri"/>
        <family val="2"/>
        <charset val="134"/>
      </rPr>
      <t>MM DAILY BUSINESS REPORT  -   APRIL 2013</t>
    </r>
  </si>
  <si>
    <t>AX:134  BX:8</t>
  </si>
  <si>
    <t>TERMINATION:9.5</t>
  </si>
  <si>
    <t>AX:</t>
  </si>
  <si>
    <t>BX:</t>
  </si>
  <si>
    <t>RATHEESH -BA</t>
  </si>
  <si>
    <t xml:space="preserve">GEETHA </t>
  </si>
  <si>
    <t>GOPINATHAN</t>
  </si>
  <si>
    <t>KARUNAKARAN</t>
  </si>
  <si>
    <t>SURENDRAN PILLAI</t>
  </si>
  <si>
    <t>SANTHOSH KUMAR</t>
  </si>
  <si>
    <t>SIVAN KUTTY</t>
  </si>
  <si>
    <t>VARGHESE V T</t>
  </si>
  <si>
    <t>PRAVEEN KUMAR</t>
  </si>
  <si>
    <t>OTHERS</t>
  </si>
  <si>
    <t>OFFICE</t>
  </si>
  <si>
    <t>WEEK 2
(8- 16)</t>
  </si>
  <si>
    <t xml:space="preserve">RATHEESH </t>
  </si>
  <si>
    <t>31/5/2013</t>
  </si>
  <si>
    <r>
      <rPr>
        <b/>
        <sz val="10"/>
        <rFont val="Calibri"/>
        <family val="2"/>
        <charset val="134"/>
      </rPr>
      <t xml:space="preserve">                                                  </t>
    </r>
    <r>
      <rPr>
        <b/>
        <sz val="10"/>
        <color indexed="10"/>
        <rFont val="Calibri"/>
        <family val="2"/>
        <charset val="134"/>
      </rPr>
      <t>MM DAILY BUSINESS REPORT  -   MAY 2013</t>
    </r>
  </si>
  <si>
    <t>AX:68   BX:5</t>
  </si>
  <si>
    <t>TERMINATION:8.5</t>
  </si>
  <si>
    <t>AX:181</t>
  </si>
  <si>
    <t>BX:1</t>
  </si>
  <si>
    <t>WEEK 2
(9- 16)</t>
  </si>
  <si>
    <t>GOPINATAH</t>
  </si>
  <si>
    <t>29/6/2013</t>
  </si>
  <si>
    <r>
      <rPr>
        <b/>
        <sz val="10"/>
        <rFont val="Calibri"/>
        <family val="2"/>
        <charset val="134"/>
      </rPr>
      <t xml:space="preserve">                                                  </t>
    </r>
    <r>
      <rPr>
        <b/>
        <sz val="10"/>
        <color indexed="10"/>
        <rFont val="Calibri"/>
        <family val="2"/>
        <charset val="134"/>
      </rPr>
      <t>MM DAILY BUSINESS REPORT  -   JUNE 2013</t>
    </r>
  </si>
  <si>
    <t>AX:220   BX:7</t>
  </si>
  <si>
    <t>AX:135</t>
  </si>
  <si>
    <t>BX:20</t>
  </si>
  <si>
    <t>NITHIN- BM</t>
  </si>
  <si>
    <t>GEETHA-BA</t>
  </si>
  <si>
    <t>SIVANKUTTY</t>
  </si>
  <si>
    <t>SHINE VARUG -BM</t>
  </si>
  <si>
    <t>RATHEESH-BM</t>
  </si>
  <si>
    <t>SATHEESH</t>
  </si>
  <si>
    <t>SUREDRAN PILLAI</t>
  </si>
  <si>
    <t>RAJES KUMAR</t>
  </si>
  <si>
    <t>GEETHA</t>
  </si>
  <si>
    <t>31/7/2013</t>
  </si>
  <si>
    <r>
      <rPr>
        <b/>
        <sz val="10"/>
        <rFont val="Calibri"/>
        <family val="2"/>
        <charset val="134"/>
      </rPr>
      <t xml:space="preserve">                                                  </t>
    </r>
    <r>
      <rPr>
        <b/>
        <sz val="10"/>
        <color indexed="10"/>
        <rFont val="Calibri"/>
        <family val="2"/>
        <charset val="134"/>
      </rPr>
      <t>MM DAILY BUSINESS REPORT  -   JULY 2013</t>
    </r>
  </si>
  <si>
    <t>AX:112   BX:10</t>
  </si>
  <si>
    <t>GROUPS :5.5</t>
  </si>
  <si>
    <t>SHINE VARUGH-BM</t>
  </si>
  <si>
    <t>RATHEES-BA</t>
  </si>
  <si>
    <t>SATHEESH-BA</t>
  </si>
  <si>
    <t>GOPINATHAN-BA</t>
  </si>
  <si>
    <t>SUNI SATHEESH-JBA</t>
  </si>
  <si>
    <t>PRASANTH-JBA</t>
  </si>
  <si>
    <t>SANTHOSH-JBA</t>
  </si>
  <si>
    <t>KARUNAKARAN-JBA</t>
  </si>
  <si>
    <t>RAJES KUMAR-JBA</t>
  </si>
  <si>
    <t>PRAVEEN KUMAR-JBA</t>
  </si>
  <si>
    <t>SACHIN  MATHEW</t>
  </si>
  <si>
    <t>31/08/2013</t>
  </si>
  <si>
    <r>
      <rPr>
        <b/>
        <sz val="10"/>
        <rFont val="Calibri"/>
        <family val="2"/>
        <charset val="134"/>
      </rPr>
      <t xml:space="preserve">                                                  </t>
    </r>
    <r>
      <rPr>
        <b/>
        <sz val="10"/>
        <color indexed="10"/>
        <rFont val="Calibri"/>
        <family val="2"/>
        <charset val="134"/>
      </rPr>
      <t>MM DAILY BUSINESS REPORT  -   AUGUST 2013</t>
    </r>
  </si>
  <si>
    <t>MTD TOTAL CUST</t>
  </si>
  <si>
    <t>MTD TOTAL BUSINE</t>
  </si>
  <si>
    <t>AX:165   BX:4</t>
  </si>
  <si>
    <t>GROUPS :5</t>
  </si>
  <si>
    <t>TERMINATION:7</t>
  </si>
  <si>
    <t>AX:105</t>
  </si>
  <si>
    <t>MTD  CUST TGT</t>
  </si>
  <si>
    <t>TOTAL BUSI</t>
  </si>
  <si>
    <t>30/9/2013</t>
  </si>
  <si>
    <r>
      <rPr>
        <b/>
        <sz val="10"/>
        <rFont val="Calibri"/>
        <family val="2"/>
        <charset val="134"/>
      </rPr>
      <t xml:space="preserve">                                                  </t>
    </r>
    <r>
      <rPr>
        <b/>
        <sz val="10"/>
        <color indexed="10"/>
        <rFont val="Calibri"/>
        <family val="2"/>
        <charset val="134"/>
      </rPr>
      <t>MM DAILY BUSINESS REPORT  -   SEPT 2013</t>
    </r>
  </si>
  <si>
    <t>AX:288 BX:6</t>
  </si>
  <si>
    <t>AX:85</t>
  </si>
  <si>
    <t>BX:2</t>
  </si>
  <si>
    <t>ANOOP –SBA</t>
  </si>
  <si>
    <t>GEETHA-SBA</t>
  </si>
  <si>
    <t>JAYAN-SBA</t>
  </si>
  <si>
    <t>SLEEBA PHILIP-BA</t>
  </si>
  <si>
    <t>YAMUNA-BA</t>
  </si>
  <si>
    <t>RATHEES-JBA</t>
  </si>
  <si>
    <t>VARGHESE V T-JBA</t>
  </si>
  <si>
    <t>PRASANTH-JBA(T)</t>
  </si>
  <si>
    <t>RAJES KUMAR-JBA(T)</t>
  </si>
  <si>
    <t>PRAVEEN -JBA(T)</t>
  </si>
  <si>
    <t>SUREDRAN -JBA(T)</t>
  </si>
  <si>
    <t>GOPINATHAN-JBA(T)</t>
  </si>
  <si>
    <t>SACHIN-JBA(T)</t>
  </si>
  <si>
    <t>SIVANKUTTY-(T)</t>
  </si>
  <si>
    <t>PRASAD</t>
  </si>
  <si>
    <t>31/10/2013</t>
  </si>
  <si>
    <r>
      <rPr>
        <b/>
        <sz val="10"/>
        <rFont val="Calibri"/>
        <family val="2"/>
        <charset val="134"/>
      </rPr>
      <t xml:space="preserve">                                                  </t>
    </r>
    <r>
      <rPr>
        <b/>
        <sz val="10"/>
        <color indexed="10"/>
        <rFont val="Calibri"/>
        <family val="2"/>
        <charset val="134"/>
      </rPr>
      <t>MM DAILY BUSINESS REPORT  - OCT 2013</t>
    </r>
  </si>
  <si>
    <t>AX:232    BX:5</t>
  </si>
  <si>
    <t>GROUPS :14</t>
  </si>
  <si>
    <t>AX:114</t>
  </si>
  <si>
    <t>KARUNAKARAN-JBA(T)</t>
  </si>
  <si>
    <t>30/11/2013</t>
  </si>
  <si>
    <r>
      <rPr>
        <b/>
        <sz val="10"/>
        <rFont val="Calibri"/>
        <family val="2"/>
        <charset val="134"/>
      </rPr>
      <t xml:space="preserve">                                                  </t>
    </r>
    <r>
      <rPr>
        <b/>
        <sz val="10"/>
        <color indexed="10"/>
        <rFont val="Calibri"/>
        <family val="2"/>
        <charset val="134"/>
      </rPr>
      <t>MM DAILY BUSINESS REPORT  - NOV 2013</t>
    </r>
  </si>
  <si>
    <t>AX:166    BX:5</t>
  </si>
  <si>
    <t>AX:198</t>
  </si>
  <si>
    <t>VENU KUMAR -BA</t>
  </si>
  <si>
    <t>SOBHANA-JBA</t>
  </si>
  <si>
    <t>SOBHANA</t>
  </si>
  <si>
    <t>31/12/2013</t>
  </si>
  <si>
    <r>
      <rPr>
        <b/>
        <sz val="10"/>
        <rFont val="Calibri"/>
        <family val="2"/>
        <charset val="134"/>
      </rPr>
      <t xml:space="preserve">                                                  </t>
    </r>
    <r>
      <rPr>
        <b/>
        <sz val="10"/>
        <color indexed="10"/>
        <rFont val="Calibri"/>
        <family val="2"/>
        <charset val="134"/>
      </rPr>
      <t>MM DAILY BUSINESS REPORT  - DEC  2013</t>
    </r>
  </si>
  <si>
    <t>AX:231    BX:3</t>
  </si>
  <si>
    <t>GROUPS :15.5</t>
  </si>
  <si>
    <t>TERMINATION:11.5</t>
  </si>
  <si>
    <t>AX:166</t>
  </si>
  <si>
    <t>VENU KUMAR-JBA</t>
  </si>
  <si>
    <t>JAYAN -BA</t>
  </si>
  <si>
    <t>VIJAYAMMA-JBA</t>
  </si>
  <si>
    <t>SREELATHA-JBA</t>
  </si>
  <si>
    <t>VENU KUMAR</t>
  </si>
  <si>
    <t xml:space="preserve">JAYAN </t>
  </si>
  <si>
    <t>31/1/2014</t>
  </si>
  <si>
    <r>
      <rPr>
        <b/>
        <sz val="10"/>
        <rFont val="Calibri"/>
        <family val="2"/>
        <charset val="134"/>
      </rPr>
      <t xml:space="preserve">                                                  </t>
    </r>
    <r>
      <rPr>
        <b/>
        <sz val="10"/>
        <color indexed="10"/>
        <rFont val="Calibri"/>
        <family val="2"/>
        <charset val="134"/>
      </rPr>
      <t>MM DAILY BUSINESS REPORT  - JAN 2014</t>
    </r>
  </si>
  <si>
    <t>MTD TOTAL FIC</t>
  </si>
  <si>
    <t>AX:92    BX:7</t>
  </si>
  <si>
    <t>AX:157</t>
  </si>
  <si>
    <t>TOT FIC</t>
  </si>
  <si>
    <t>TOT BUSI</t>
  </si>
  <si>
    <t>BIBIN SHA-BM</t>
  </si>
  <si>
    <t>YAMUNA-JBA</t>
  </si>
  <si>
    <t>SEELATHA-JBA</t>
  </si>
  <si>
    <t>ARUN J GEORGE-BM</t>
  </si>
  <si>
    <t>VENU KUMAR-SBA</t>
  </si>
  <si>
    <t>RATHEESH -JBA</t>
  </si>
  <si>
    <t>GOPINATHAN-JBA</t>
  </si>
  <si>
    <t>KISHOR KUMAR-BM</t>
  </si>
  <si>
    <t>ANOOP-SBA</t>
  </si>
  <si>
    <t>VARGHESE-JBA</t>
  </si>
  <si>
    <t>SIVANKUTTY-JBA</t>
  </si>
  <si>
    <t>YAMUNA</t>
  </si>
  <si>
    <t>SREELATAH</t>
  </si>
  <si>
    <t>28/2/2014</t>
  </si>
  <si>
    <r>
      <rPr>
        <b/>
        <sz val="10"/>
        <rFont val="Calibri"/>
        <family val="2"/>
        <charset val="134"/>
      </rPr>
      <t xml:space="preserve">                                                  </t>
    </r>
    <r>
      <rPr>
        <b/>
        <sz val="10"/>
        <color indexed="10"/>
        <rFont val="Calibri"/>
        <family val="2"/>
        <charset val="134"/>
      </rPr>
      <t>MM DAILY BUSINESS REPORT  - FEB 14</t>
    </r>
  </si>
  <si>
    <t>MTD TOTAL CUST(FIC)</t>
  </si>
  <si>
    <t>AX:267    BX:7</t>
  </si>
  <si>
    <t>AX:202</t>
  </si>
  <si>
    <t>WEEK 2
(8 - 14)</t>
  </si>
  <si>
    <t>WEEK 4 
(22 -28)</t>
  </si>
  <si>
    <t>WEEK 3
(15 - 21)</t>
  </si>
  <si>
    <t>MTD TOT  BUSINESS(FIC)</t>
  </si>
  <si>
    <t>TOT  CUST(FINC)</t>
  </si>
  <si>
    <t>TOT BUSI(FINC)</t>
  </si>
  <si>
    <t>TOTAL CUS</t>
  </si>
  <si>
    <t>TOTAL BUSINESS</t>
  </si>
  <si>
    <t>SHIBU OOMMEN-BA</t>
  </si>
  <si>
    <t>MOHAMMED ALI-BA</t>
  </si>
  <si>
    <t>WEEK 2
(8- 14)</t>
  </si>
  <si>
    <t>31/3/2014</t>
  </si>
  <si>
    <r>
      <rPr>
        <b/>
        <sz val="10"/>
        <rFont val="Calibri"/>
        <family val="2"/>
        <charset val="134"/>
      </rPr>
      <t xml:space="preserve">                                                  </t>
    </r>
    <r>
      <rPr>
        <b/>
        <sz val="10"/>
        <color indexed="10"/>
        <rFont val="Calibri"/>
        <family val="2"/>
        <charset val="134"/>
      </rPr>
      <t>MM DAILY BUSINESS REPORT  - MARCH- 14</t>
    </r>
  </si>
  <si>
    <t>AX:237    BX:17</t>
  </si>
  <si>
    <t>TERMINATION:10.5</t>
  </si>
  <si>
    <t>AX:225</t>
  </si>
  <si>
    <t xml:space="preserve"> </t>
  </si>
  <si>
    <t>LINU THOMAS</t>
  </si>
  <si>
    <t>AMBIKA DEVI-BA</t>
  </si>
  <si>
    <t>VARGHESE -JBA</t>
  </si>
  <si>
    <t>JAYAPRAKASH-JBA(T)</t>
  </si>
  <si>
    <t>SIVANKUTTY-JBA(T)</t>
  </si>
  <si>
    <t>MOHAMMED ALI</t>
  </si>
  <si>
    <t>SHIBU OOMMEN</t>
  </si>
  <si>
    <r>
      <rPr>
        <b/>
        <sz val="10"/>
        <rFont val="Calibri"/>
        <family val="2"/>
        <charset val="134"/>
      </rPr>
      <t xml:space="preserve">                                                  </t>
    </r>
    <r>
      <rPr>
        <b/>
        <sz val="10"/>
        <color indexed="10"/>
        <rFont val="Calibri"/>
        <family val="2"/>
        <charset val="134"/>
      </rPr>
      <t>MM DAILY BUSINESS REPORT  - APRIL- 14</t>
    </r>
  </si>
  <si>
    <t>AX: 29   BX:4</t>
  </si>
  <si>
    <t>TERMINATION:10</t>
  </si>
  <si>
    <t>AX:37</t>
  </si>
  <si>
    <t>ANIL -BA</t>
  </si>
  <si>
    <t>RAJESH</t>
  </si>
</sst>
</file>

<file path=xl/styles.xml><?xml version="1.0" encoding="utf-8"?>
<styleSheet xmlns="http://schemas.openxmlformats.org/spreadsheetml/2006/main">
  <numFmts count="9">
    <numFmt numFmtId="176" formatCode="d\-mmm\-yy"/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7" formatCode="_ * #,##0.00_ ;_ * \-#,##0.00_ ;_ * &quot;-&quot;??_ ;_ @_ "/>
    <numFmt numFmtId="178" formatCode="_ * #,##0_ ;_ * \-#,##0_ ;_ * &quot;-&quot;_ ;_ @_ "/>
    <numFmt numFmtId="179" formatCode="0.0"/>
    <numFmt numFmtId="180" formatCode="0.000"/>
    <numFmt numFmtId="181" formatCode="0.00000"/>
    <numFmt numFmtId="182" formatCode="m/d/yyyy\ H:mm"/>
  </numFmts>
  <fonts count="15">
    <font>
      <sz val="11"/>
      <color indexed="8"/>
      <name val="Calibri"/>
      <family val="2"/>
      <charset val="134"/>
    </font>
    <font>
      <sz val="12"/>
      <name val="Times New Roman"/>
      <charset val="134"/>
    </font>
    <font>
      <b/>
      <sz val="10"/>
      <name val="Calibri"/>
      <family val="2"/>
      <charset val="134"/>
    </font>
    <font>
      <b/>
      <sz val="10"/>
      <color indexed="8"/>
      <name val="Calibri"/>
      <family val="2"/>
      <charset val="134"/>
    </font>
    <font>
      <sz val="10"/>
      <color indexed="8"/>
      <name val="Calibri"/>
      <family val="2"/>
      <charset val="134"/>
    </font>
    <font>
      <b/>
      <i/>
      <sz val="9"/>
      <color indexed="8"/>
      <name val="Calibri"/>
      <family val="2"/>
      <charset val="134"/>
    </font>
    <font>
      <sz val="9"/>
      <color indexed="8"/>
      <name val="Calibri"/>
      <family val="2"/>
      <charset val="134"/>
    </font>
    <font>
      <b/>
      <sz val="9"/>
      <color indexed="8"/>
      <name val="Calibri"/>
      <family val="2"/>
      <charset val="134"/>
    </font>
    <font>
      <b/>
      <sz val="11"/>
      <color indexed="8"/>
      <name val="Calibri"/>
      <family val="2"/>
      <charset val="134"/>
    </font>
    <font>
      <i/>
      <sz val="11"/>
      <color indexed="8"/>
      <name val="Calibri"/>
      <family val="2"/>
      <charset val="134"/>
    </font>
    <font>
      <i/>
      <sz val="9"/>
      <color indexed="8"/>
      <name val="Calibri"/>
      <family val="2"/>
      <charset val="134"/>
    </font>
    <font>
      <b/>
      <sz val="11"/>
      <name val="Calibri"/>
      <family val="2"/>
      <charset val="134"/>
    </font>
    <font>
      <b/>
      <sz val="8"/>
      <color indexed="8"/>
      <name val="Calibri"/>
      <family val="2"/>
      <charset val="134"/>
    </font>
    <font>
      <sz val="14"/>
      <color indexed="8"/>
      <name val="Calibri"/>
      <family val="2"/>
      <charset val="134"/>
    </font>
    <font>
      <b/>
      <sz val="10"/>
      <color indexed="10"/>
      <name val="Calibri"/>
      <family val="2"/>
      <charset val="13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9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>
      <alignment vertical="center"/>
    </xf>
    <xf numFmtId="177" fontId="1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17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42" fontId="1" fillId="0" borderId="0" applyFont="0" applyFill="0" applyBorder="0" applyAlignment="0" applyProtection="0">
      <alignment vertical="center"/>
    </xf>
  </cellStyleXfs>
  <cellXfs count="248">
    <xf numFmtId="0" fontId="0" fillId="0" borderId="0" xfId="0" applyAlignment="1"/>
    <xf numFmtId="0" fontId="0" fillId="0" borderId="0" xfId="0" applyFont="1" applyAlignment="1"/>
    <xf numFmtId="0" fontId="0" fillId="0" borderId="0" xfId="0" applyFont="1" applyAlignment="1">
      <alignment horizontal="center"/>
    </xf>
    <xf numFmtId="58" fontId="0" fillId="2" borderId="1" xfId="0" applyNumberFormat="1" applyFill="1" applyBorder="1" applyAlignment="1">
      <alignment vertical="top" wrapText="1"/>
    </xf>
    <xf numFmtId="0" fontId="2" fillId="3" borderId="2" xfId="0" applyFont="1" applyFill="1" applyBorder="1" applyAlignment="1"/>
    <xf numFmtId="0" fontId="2" fillId="3" borderId="3" xfId="0" applyFont="1" applyFill="1" applyBorder="1" applyAlignment="1"/>
    <xf numFmtId="0" fontId="3" fillId="0" borderId="4" xfId="0" applyFont="1" applyBorder="1" applyAlignment="1"/>
    <xf numFmtId="0" fontId="3" fillId="0" borderId="0" xfId="0" applyFont="1" applyBorder="1" applyAlignment="1">
      <alignment horizontal="center"/>
    </xf>
    <xf numFmtId="0" fontId="4" fillId="0" borderId="0" xfId="0" applyFont="1" applyBorder="1" applyAlignment="1"/>
    <xf numFmtId="0" fontId="3" fillId="0" borderId="0" xfId="0" applyFont="1" applyBorder="1" applyAlignment="1"/>
    <xf numFmtId="0" fontId="3" fillId="2" borderId="1" xfId="0" applyFont="1" applyFill="1" applyBorder="1" applyAlignment="1"/>
    <xf numFmtId="0" fontId="4" fillId="0" borderId="2" xfId="0" applyFont="1" applyBorder="1" applyAlignment="1">
      <alignment horizontal="center"/>
    </xf>
    <xf numFmtId="0" fontId="4" fillId="0" borderId="3" xfId="0" applyFont="1" applyBorder="1" applyAlignment="1"/>
    <xf numFmtId="0" fontId="3" fillId="0" borderId="3" xfId="0" applyFont="1" applyBorder="1" applyAlignment="1"/>
    <xf numFmtId="0" fontId="4" fillId="0" borderId="3" xfId="0" applyFont="1" applyBorder="1" applyAlignment="1"/>
    <xf numFmtId="0" fontId="3" fillId="2" borderId="5" xfId="0" applyNumberFormat="1" applyFont="1" applyFill="1" applyBorder="1" applyAlignment="1">
      <alignment horizontal="right"/>
    </xf>
    <xf numFmtId="0" fontId="3" fillId="0" borderId="5" xfId="0" applyFont="1" applyBorder="1" applyAlignment="1"/>
    <xf numFmtId="0" fontId="3" fillId="0" borderId="6" xfId="0" applyFont="1" applyBorder="1" applyAlignment="1">
      <alignment horizontal="center"/>
    </xf>
    <xf numFmtId="0" fontId="3" fillId="0" borderId="6" xfId="0" applyFont="1" applyBorder="1" applyAlignment="1"/>
    <xf numFmtId="0" fontId="3" fillId="0" borderId="6" xfId="0" applyFont="1" applyBorder="1" applyAlignment="1">
      <alignment horizontal="center" vertical="center"/>
    </xf>
    <xf numFmtId="0" fontId="4" fillId="0" borderId="6" xfId="0" applyFont="1" applyBorder="1" applyAlignment="1"/>
    <xf numFmtId="0" fontId="3" fillId="2" borderId="6" xfId="0" applyNumberFormat="1" applyFont="1" applyFill="1" applyBorder="1" applyAlignment="1">
      <alignment horizontal="right"/>
    </xf>
    <xf numFmtId="0" fontId="4" fillId="0" borderId="2" xfId="0" applyFont="1" applyBorder="1" applyAlignment="1"/>
    <xf numFmtId="0" fontId="4" fillId="0" borderId="3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vertical="top" wrapText="1"/>
    </xf>
    <xf numFmtId="0" fontId="5" fillId="4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6" fillId="5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6" fillId="5" borderId="8" xfId="0" applyFont="1" applyFill="1" applyBorder="1" applyAlignment="1">
      <alignment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0" fontId="6" fillId="0" borderId="8" xfId="0" applyFont="1" applyBorder="1" applyAlignment="1">
      <alignment horizontal="center"/>
    </xf>
    <xf numFmtId="0" fontId="7" fillId="6" borderId="8" xfId="0" applyFont="1" applyFill="1" applyBorder="1" applyAlignment="1">
      <alignment vertical="top" wrapText="1"/>
    </xf>
    <xf numFmtId="0" fontId="7" fillId="2" borderId="8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center" vertical="top" wrapText="1"/>
    </xf>
    <xf numFmtId="0" fontId="4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3" fillId="3" borderId="5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right" vertical="top" wrapText="1"/>
    </xf>
    <xf numFmtId="0" fontId="6" fillId="0" borderId="1" xfId="0" applyFont="1" applyBorder="1" applyAlignment="1"/>
    <xf numFmtId="0" fontId="6" fillId="7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0" fillId="2" borderId="13" xfId="0" applyFont="1" applyFill="1" applyBorder="1" applyAlignment="1">
      <alignment vertical="center"/>
    </xf>
    <xf numFmtId="0" fontId="0" fillId="2" borderId="14" xfId="0" applyFont="1" applyFill="1" applyBorder="1" applyAlignment="1">
      <alignment horizontal="center" vertical="top" wrapText="1"/>
    </xf>
    <xf numFmtId="0" fontId="0" fillId="2" borderId="14" xfId="0" applyFont="1" applyFill="1" applyBorder="1" applyAlignment="1">
      <alignment vertical="top" wrapText="1"/>
    </xf>
    <xf numFmtId="0" fontId="2" fillId="3" borderId="7" xfId="0" applyFont="1" applyFill="1" applyBorder="1" applyAlignment="1"/>
    <xf numFmtId="0" fontId="3" fillId="2" borderId="7" xfId="0" applyFont="1" applyFill="1" applyBorder="1" applyAlignment="1"/>
    <xf numFmtId="0" fontId="0" fillId="0" borderId="0" xfId="0" applyFont="1" applyBorder="1" applyAlignment="1"/>
    <xf numFmtId="0" fontId="8" fillId="2" borderId="1" xfId="0" applyFont="1" applyFill="1" applyBorder="1" applyAlignment="1"/>
    <xf numFmtId="0" fontId="4" fillId="0" borderId="6" xfId="0" applyFont="1" applyBorder="1" applyAlignment="1"/>
    <xf numFmtId="0" fontId="4" fillId="0" borderId="14" xfId="0" applyFont="1" applyBorder="1" applyAlignment="1">
      <alignment horizontal="center"/>
    </xf>
    <xf numFmtId="0" fontId="4" fillId="0" borderId="14" xfId="0" applyFont="1" applyBorder="1" applyAlignment="1"/>
    <xf numFmtId="0" fontId="3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wrapText="1"/>
    </xf>
    <xf numFmtId="0" fontId="0" fillId="3" borderId="2" xfId="0" applyFont="1" applyFill="1" applyBorder="1" applyAlignment="1"/>
    <xf numFmtId="0" fontId="0" fillId="3" borderId="1" xfId="0" applyFont="1" applyFill="1" applyBorder="1" applyAlignment="1"/>
    <xf numFmtId="0" fontId="6" fillId="3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0" fillId="0" borderId="2" xfId="0" applyFont="1" applyBorder="1" applyAlignment="1">
      <alignment wrapText="1"/>
    </xf>
    <xf numFmtId="0" fontId="0" fillId="0" borderId="2" xfId="0" applyFont="1" applyBorder="1" applyAlignment="1"/>
    <xf numFmtId="0" fontId="0" fillId="0" borderId="1" xfId="0" applyFont="1" applyBorder="1" applyAlignment="1"/>
    <xf numFmtId="0" fontId="7" fillId="0" borderId="13" xfId="0" applyFont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vertical="top" wrapText="1"/>
    </xf>
    <xf numFmtId="0" fontId="8" fillId="0" borderId="13" xfId="0" applyFont="1" applyBorder="1" applyAlignment="1">
      <alignment wrapText="1"/>
    </xf>
    <xf numFmtId="0" fontId="8" fillId="0" borderId="2" xfId="0" applyFont="1" applyBorder="1" applyAlignment="1"/>
    <xf numFmtId="179" fontId="8" fillId="0" borderId="1" xfId="0" applyNumberFormat="1" applyFont="1" applyBorder="1" applyAlignment="1"/>
    <xf numFmtId="0" fontId="4" fillId="0" borderId="9" xfId="0" applyFont="1" applyBorder="1" applyAlignment="1">
      <alignment horizontal="center"/>
    </xf>
    <xf numFmtId="0" fontId="4" fillId="0" borderId="9" xfId="0" applyFont="1" applyBorder="1" applyAlignment="1"/>
    <xf numFmtId="0" fontId="4" fillId="0" borderId="10" xfId="0" applyFont="1" applyBorder="1" applyAlignment="1"/>
    <xf numFmtId="0" fontId="9" fillId="0" borderId="10" xfId="0" applyFont="1" applyFill="1" applyBorder="1" applyAlignment="1">
      <alignment horizontal="right" wrapText="1"/>
    </xf>
    <xf numFmtId="0" fontId="0" fillId="0" borderId="10" xfId="0" applyFont="1" applyFill="1" applyBorder="1" applyAlignment="1">
      <alignment horizontal="left"/>
    </xf>
    <xf numFmtId="0" fontId="0" fillId="0" borderId="9" xfId="0" applyFont="1" applyBorder="1" applyAlignment="1"/>
    <xf numFmtId="0" fontId="0" fillId="0" borderId="0" xfId="0" applyFont="1" applyFill="1" applyBorder="1" applyAlignment="1">
      <alignment horizontal="right"/>
    </xf>
    <xf numFmtId="0" fontId="0" fillId="0" borderId="0" xfId="0" applyFont="1" applyFill="1" applyBorder="1" applyAlignment="1">
      <alignment horizontal="left"/>
    </xf>
    <xf numFmtId="10" fontId="6" fillId="0" borderId="1" xfId="0" applyNumberFormat="1" applyFont="1" applyBorder="1" applyAlignment="1"/>
    <xf numFmtId="0" fontId="0" fillId="0" borderId="0" xfId="0" applyNumberFormat="1" applyFont="1" applyFill="1" applyBorder="1" applyAlignment="1">
      <alignment horizontal="right"/>
    </xf>
    <xf numFmtId="0" fontId="0" fillId="0" borderId="0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right"/>
    </xf>
    <xf numFmtId="0" fontId="8" fillId="0" borderId="0" xfId="0" applyNumberFormat="1" applyFont="1" applyFill="1" applyBorder="1" applyAlignment="1">
      <alignment horizontal="left"/>
    </xf>
    <xf numFmtId="0" fontId="0" fillId="0" borderId="0" xfId="0" applyFont="1" applyFill="1" applyBorder="1" applyAlignment="1"/>
    <xf numFmtId="0" fontId="7" fillId="2" borderId="2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7" fillId="3" borderId="1" xfId="0" applyFont="1" applyFill="1" applyBorder="1" applyAlignment="1">
      <alignment vertical="top" wrapText="1"/>
    </xf>
    <xf numFmtId="0" fontId="7" fillId="4" borderId="1" xfId="0" applyFont="1" applyFill="1" applyBorder="1" applyAlignment="1">
      <alignment vertical="top" wrapText="1"/>
    </xf>
    <xf numFmtId="0" fontId="8" fillId="3" borderId="1" xfId="0" applyFont="1" applyFill="1" applyBorder="1" applyAlignment="1">
      <alignment vertical="center"/>
    </xf>
    <xf numFmtId="0" fontId="8" fillId="0" borderId="8" xfId="0" applyFont="1" applyBorder="1" applyAlignment="1"/>
    <xf numFmtId="0" fontId="9" fillId="0" borderId="9" xfId="0" applyFont="1" applyFill="1" applyBorder="1" applyAlignment="1">
      <alignment horizontal="right"/>
    </xf>
    <xf numFmtId="0" fontId="4" fillId="0" borderId="15" xfId="0" applyFont="1" applyBorder="1" applyAlignment="1"/>
    <xf numFmtId="0" fontId="4" fillId="0" borderId="16" xfId="0" applyFont="1" applyBorder="1" applyAlignment="1"/>
    <xf numFmtId="0" fontId="4" fillId="0" borderId="7" xfId="0" applyFont="1" applyBorder="1" applyAlignment="1"/>
    <xf numFmtId="0" fontId="4" fillId="0" borderId="17" xfId="0" applyFont="1" applyBorder="1" applyAlignment="1"/>
    <xf numFmtId="0" fontId="7" fillId="0" borderId="1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3" fillId="2" borderId="8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right"/>
    </xf>
    <xf numFmtId="0" fontId="3" fillId="3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vertical="top" wrapText="1"/>
    </xf>
    <xf numFmtId="0" fontId="6" fillId="10" borderId="1" xfId="0" applyFont="1" applyFill="1" applyBorder="1" applyAlignment="1">
      <alignment vertical="top" wrapText="1"/>
    </xf>
    <xf numFmtId="0" fontId="6" fillId="10" borderId="8" xfId="0" applyFont="1" applyFill="1" applyBorder="1" applyAlignment="1">
      <alignment vertical="top" wrapText="1"/>
    </xf>
    <xf numFmtId="0" fontId="7" fillId="10" borderId="8" xfId="0" applyFont="1" applyFill="1" applyBorder="1" applyAlignment="1">
      <alignment vertical="top" wrapText="1"/>
    </xf>
    <xf numFmtId="0" fontId="7" fillId="9" borderId="1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180" fontId="7" fillId="0" borderId="1" xfId="0" applyNumberFormat="1" applyFont="1" applyBorder="1" applyAlignment="1"/>
    <xf numFmtId="0" fontId="4" fillId="3" borderId="1" xfId="0" applyFont="1" applyFill="1" applyBorder="1" applyAlignment="1">
      <alignment horizontal="left" vertical="center" wrapText="1"/>
    </xf>
    <xf numFmtId="1" fontId="6" fillId="2" borderId="1" xfId="0" applyNumberFormat="1" applyFont="1" applyFill="1" applyBorder="1" applyAlignment="1">
      <alignment horizontal="center"/>
    </xf>
    <xf numFmtId="0" fontId="0" fillId="2" borderId="1" xfId="0" applyFill="1" applyBorder="1" applyAlignment="1">
      <alignment vertical="top" wrapText="1"/>
    </xf>
    <xf numFmtId="0" fontId="3" fillId="11" borderId="1" xfId="0" applyFont="1" applyFill="1" applyBorder="1" applyAlignment="1"/>
    <xf numFmtId="0" fontId="8" fillId="11" borderId="1" xfId="0" applyFont="1" applyFill="1" applyBorder="1" applyAlignment="1"/>
    <xf numFmtId="0" fontId="7" fillId="2" borderId="8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right" vertical="center" wrapText="1"/>
    </xf>
    <xf numFmtId="0" fontId="6" fillId="0" borderId="1" xfId="0" applyNumberFormat="1" applyFont="1" applyBorder="1" applyAlignment="1"/>
    <xf numFmtId="181" fontId="6" fillId="2" borderId="1" xfId="0" applyNumberFormat="1" applyFont="1" applyFill="1" applyBorder="1" applyAlignment="1"/>
    <xf numFmtId="0" fontId="3" fillId="11" borderId="7" xfId="0" applyFont="1" applyFill="1" applyBorder="1" applyAlignment="1"/>
    <xf numFmtId="0" fontId="3" fillId="12" borderId="1" xfId="0" applyFont="1" applyFill="1" applyBorder="1" applyAlignment="1"/>
    <xf numFmtId="2" fontId="6" fillId="0" borderId="1" xfId="0" applyNumberFormat="1" applyFont="1" applyBorder="1" applyAlignment="1"/>
    <xf numFmtId="0" fontId="7" fillId="0" borderId="1" xfId="0" applyFont="1" applyBorder="1" applyAlignment="1"/>
    <xf numFmtId="0" fontId="7" fillId="7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2" borderId="5" xfId="0" applyFont="1" applyFill="1" applyBorder="1" applyAlignment="1">
      <alignment horizontal="center"/>
    </xf>
    <xf numFmtId="0" fontId="9" fillId="0" borderId="0" xfId="0" applyFont="1" applyAlignment="1"/>
    <xf numFmtId="0" fontId="6" fillId="2" borderId="1" xfId="0" applyFont="1" applyFill="1" applyBorder="1" applyAlignment="1"/>
    <xf numFmtId="0" fontId="7" fillId="13" borderId="1" xfId="0" applyFont="1" applyFill="1" applyBorder="1" applyAlignment="1">
      <alignment vertical="top" wrapText="1"/>
    </xf>
    <xf numFmtId="0" fontId="6" fillId="13" borderId="1" xfId="0" applyFont="1" applyFill="1" applyBorder="1" applyAlignment="1">
      <alignment vertical="top" wrapText="1"/>
    </xf>
    <xf numFmtId="0" fontId="6" fillId="11" borderId="1" xfId="0" applyFont="1" applyFill="1" applyBorder="1" applyAlignment="1">
      <alignment vertical="top" wrapText="1"/>
    </xf>
    <xf numFmtId="0" fontId="7" fillId="2" borderId="8" xfId="0" applyFont="1" applyFill="1" applyBorder="1" applyAlignment="1">
      <alignment horizontal="center"/>
    </xf>
    <xf numFmtId="0" fontId="3" fillId="13" borderId="1" xfId="0" applyFont="1" applyFill="1" applyBorder="1" applyAlignment="1"/>
    <xf numFmtId="0" fontId="4" fillId="13" borderId="2" xfId="0" applyFont="1" applyFill="1" applyBorder="1" applyAlignment="1"/>
    <xf numFmtId="0" fontId="7" fillId="2" borderId="1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 wrapText="1"/>
    </xf>
    <xf numFmtId="0" fontId="0" fillId="13" borderId="1" xfId="0" applyFont="1" applyFill="1" applyBorder="1" applyAlignment="1"/>
    <xf numFmtId="0" fontId="8" fillId="13" borderId="7" xfId="0" applyFont="1" applyFill="1" applyBorder="1" applyAlignment="1"/>
    <xf numFmtId="0" fontId="3" fillId="13" borderId="7" xfId="0" applyFont="1" applyFill="1" applyBorder="1" applyAlignment="1"/>
    <xf numFmtId="0" fontId="4" fillId="0" borderId="5" xfId="0" applyFont="1" applyBorder="1" applyAlignment="1"/>
    <xf numFmtId="10" fontId="7" fillId="0" borderId="5" xfId="0" applyNumberFormat="1" applyFont="1" applyBorder="1" applyAlignment="1"/>
    <xf numFmtId="0" fontId="3" fillId="2" borderId="1" xfId="0" applyNumberFormat="1" applyFont="1" applyFill="1" applyBorder="1" applyAlignment="1">
      <alignment horizontal="right"/>
    </xf>
    <xf numFmtId="0" fontId="10" fillId="2" borderId="1" xfId="0" applyFont="1" applyFill="1" applyBorder="1" applyAlignment="1">
      <alignment horizontal="center"/>
    </xf>
    <xf numFmtId="0" fontId="10" fillId="0" borderId="1" xfId="0" applyFont="1" applyBorder="1" applyAlignment="1"/>
    <xf numFmtId="0" fontId="10" fillId="0" borderId="1" xfId="0" applyFont="1" applyBorder="1" applyAlignment="1">
      <alignment horizontal="center"/>
    </xf>
    <xf numFmtId="182" fontId="6" fillId="2" borderId="1" xfId="0" applyNumberFormat="1" applyFont="1" applyFill="1" applyBorder="1" applyAlignment="1">
      <alignment vertical="top" wrapText="1"/>
    </xf>
    <xf numFmtId="176" fontId="4" fillId="2" borderId="1" xfId="0" applyNumberFormat="1" applyFont="1" applyFill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/>
    <xf numFmtId="0" fontId="6" fillId="2" borderId="1" xfId="0" applyFont="1" applyFill="1" applyBorder="1" applyAlignment="1">
      <alignment vertical="top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11" fillId="3" borderId="2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/>
    </xf>
    <xf numFmtId="0" fontId="8" fillId="0" borderId="4" xfId="0" applyFont="1" applyBorder="1" applyAlignment="1"/>
    <xf numFmtId="0" fontId="8" fillId="0" borderId="0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/>
    <xf numFmtId="0" fontId="8" fillId="0" borderId="3" xfId="0" applyFont="1" applyBorder="1" applyAlignment="1"/>
    <xf numFmtId="0" fontId="0" fillId="0" borderId="3" xfId="0" applyFont="1" applyBorder="1" applyAlignment="1"/>
    <xf numFmtId="0" fontId="8" fillId="2" borderId="1" xfId="0" applyNumberFormat="1" applyFont="1" applyFill="1" applyBorder="1" applyAlignment="1">
      <alignment horizontal="right"/>
    </xf>
    <xf numFmtId="0" fontId="8" fillId="0" borderId="5" xfId="0" applyFont="1" applyBorder="1" applyAlignment="1"/>
    <xf numFmtId="0" fontId="8" fillId="0" borderId="6" xfId="0" applyFont="1" applyBorder="1" applyAlignment="1">
      <alignment horizontal="center"/>
    </xf>
    <xf numFmtId="0" fontId="8" fillId="0" borderId="6" xfId="0" applyFont="1" applyBorder="1" applyAlignment="1"/>
    <xf numFmtId="0" fontId="8" fillId="0" borderId="6" xfId="0" applyFont="1" applyBorder="1" applyAlignment="1">
      <alignment horizontal="center" vertical="center"/>
    </xf>
    <xf numFmtId="0" fontId="0" fillId="0" borderId="6" xfId="0" applyFont="1" applyBorder="1" applyAlignment="1"/>
    <xf numFmtId="0" fontId="8" fillId="2" borderId="6" xfId="0" applyNumberFormat="1" applyFont="1" applyFill="1" applyBorder="1" applyAlignment="1">
      <alignment horizontal="right"/>
    </xf>
    <xf numFmtId="0" fontId="0" fillId="0" borderId="3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vertical="top" wrapText="1"/>
    </xf>
    <xf numFmtId="0" fontId="0" fillId="2" borderId="1" xfId="0" applyFont="1" applyFill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2" borderId="4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 wrapText="1"/>
    </xf>
    <xf numFmtId="0" fontId="0" fillId="2" borderId="4" xfId="0" applyFont="1" applyFill="1" applyBorder="1" applyAlignment="1">
      <alignment horizontal="center" vertical="top"/>
    </xf>
    <xf numFmtId="0" fontId="8" fillId="2" borderId="0" xfId="0" applyFont="1" applyFill="1" applyBorder="1" applyAlignment="1">
      <alignment horizontal="center" vertical="top" wrapText="1"/>
    </xf>
    <xf numFmtId="0" fontId="0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right" vertical="top" wrapText="1"/>
    </xf>
    <xf numFmtId="0" fontId="0" fillId="2" borderId="1" xfId="0" applyFont="1" applyFill="1" applyBorder="1" applyAlignment="1">
      <alignment horizontal="right" vertical="center" wrapText="1"/>
    </xf>
    <xf numFmtId="0" fontId="0" fillId="0" borderId="1" xfId="0" applyNumberFormat="1" applyFont="1" applyBorder="1" applyAlignment="1"/>
    <xf numFmtId="0" fontId="0" fillId="2" borderId="1" xfId="0" applyFont="1" applyFill="1" applyBorder="1" applyAlignment="1"/>
    <xf numFmtId="0" fontId="0" fillId="0" borderId="1" xfId="0" applyFont="1" applyBorder="1" applyAlignment="1">
      <alignment horizontal="right" vertical="center"/>
    </xf>
    <xf numFmtId="0" fontId="0" fillId="2" borderId="1" xfId="0" applyFont="1" applyFill="1" applyBorder="1" applyAlignment="1"/>
    <xf numFmtId="181" fontId="0" fillId="2" borderId="1" xfId="0" applyNumberFormat="1" applyFont="1" applyFill="1" applyBorder="1" applyAlignment="1"/>
    <xf numFmtId="0" fontId="11" fillId="3" borderId="7" xfId="0" applyFont="1" applyFill="1" applyBorder="1" applyAlignment="1">
      <alignment horizontal="center"/>
    </xf>
    <xf numFmtId="0" fontId="0" fillId="0" borderId="15" xfId="0" applyFont="1" applyBorder="1" applyAlignment="1"/>
    <xf numFmtId="0" fontId="0" fillId="0" borderId="7" xfId="0" applyFont="1" applyBorder="1" applyAlignment="1"/>
    <xf numFmtId="0" fontId="0" fillId="0" borderId="6" xfId="0" applyFont="1" applyBorder="1" applyAlignment="1"/>
    <xf numFmtId="0" fontId="0" fillId="0" borderId="16" xfId="0" applyFont="1" applyBorder="1" applyAlignment="1"/>
    <xf numFmtId="0" fontId="0" fillId="0" borderId="14" xfId="0" applyFont="1" applyBorder="1" applyAlignment="1">
      <alignment horizontal="center"/>
    </xf>
    <xf numFmtId="0" fontId="0" fillId="0" borderId="14" xfId="0" applyFont="1" applyBorder="1" applyAlignment="1"/>
    <xf numFmtId="0" fontId="0" fillId="0" borderId="17" xfId="0" applyFont="1" applyBorder="1" applyAlignment="1"/>
    <xf numFmtId="0" fontId="8" fillId="3" borderId="5" xfId="0" applyFont="1" applyFill="1" applyBorder="1" applyAlignment="1">
      <alignment horizontal="center" vertical="center" wrapText="1"/>
    </xf>
    <xf numFmtId="10" fontId="0" fillId="0" borderId="1" xfId="0" applyNumberFormat="1" applyFont="1" applyBorder="1" applyAlignment="1"/>
    <xf numFmtId="2" fontId="0" fillId="0" borderId="1" xfId="0" applyNumberFormat="1" applyFont="1" applyBorder="1" applyAlignment="1"/>
    <xf numFmtId="0" fontId="8" fillId="0" borderId="1" xfId="0" applyFont="1" applyBorder="1" applyAlignment="1"/>
    <xf numFmtId="10" fontId="0" fillId="0" borderId="5" xfId="0" applyNumberFormat="1" applyFont="1" applyBorder="1" applyAlignment="1"/>
    <xf numFmtId="0" fontId="0" fillId="0" borderId="0" xfId="0" applyAlignment="1">
      <alignment horizontal="center"/>
    </xf>
    <xf numFmtId="0" fontId="0" fillId="0" borderId="0" xfId="0" applyBorder="1" applyAlignment="1"/>
    <xf numFmtId="0" fontId="0" fillId="0" borderId="2" xfId="0" applyBorder="1" applyAlignment="1">
      <alignment horizontal="center"/>
    </xf>
    <xf numFmtId="0" fontId="0" fillId="0" borderId="3" xfId="0" applyBorder="1" applyAlignment="1"/>
    <xf numFmtId="0" fontId="0" fillId="0" borderId="3" xfId="0" applyBorder="1" applyAlignment="1"/>
    <xf numFmtId="0" fontId="0" fillId="0" borderId="6" xfId="0" applyBorder="1" applyAlignment="1"/>
    <xf numFmtId="0" fontId="0" fillId="0" borderId="2" xfId="0" applyBorder="1" applyAlignment="1"/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12" fillId="3" borderId="1" xfId="0" applyFont="1" applyFill="1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NumberFormat="1" applyBorder="1" applyAlignment="1"/>
    <xf numFmtId="0" fontId="0" fillId="2" borderId="1" xfId="0" applyFill="1" applyBorder="1" applyAlignment="1">
      <alignment horizontal="right" vertical="top" wrapText="1"/>
    </xf>
    <xf numFmtId="0" fontId="0" fillId="0" borderId="1" xfId="0" applyBorder="1" applyAlignment="1">
      <alignment horizontal="right" vertical="center"/>
    </xf>
    <xf numFmtId="0" fontId="0" fillId="2" borderId="1" xfId="0" applyFill="1" applyBorder="1" applyAlignment="1"/>
    <xf numFmtId="181" fontId="0" fillId="2" borderId="1" xfId="0" applyNumberFormat="1" applyFill="1" applyBorder="1" applyAlignment="1"/>
    <xf numFmtId="0" fontId="4" fillId="2" borderId="13" xfId="0" applyFont="1" applyFill="1" applyBorder="1" applyAlignment="1">
      <alignment vertical="center"/>
    </xf>
    <xf numFmtId="0" fontId="4" fillId="2" borderId="14" xfId="0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vertical="top" wrapText="1"/>
    </xf>
    <xf numFmtId="0" fontId="0" fillId="0" borderId="15" xfId="0" applyBorder="1" applyAlignment="1"/>
    <xf numFmtId="0" fontId="0" fillId="0" borderId="7" xfId="0" applyBorder="1" applyAlignment="1"/>
    <xf numFmtId="0" fontId="0" fillId="0" borderId="6" xfId="0" applyBorder="1" applyAlignment="1"/>
    <xf numFmtId="0" fontId="0" fillId="0" borderId="16" xfId="0" applyBorder="1" applyAlignment="1"/>
    <xf numFmtId="0" fontId="0" fillId="0" borderId="14" xfId="0" applyBorder="1" applyAlignment="1">
      <alignment horizontal="center"/>
    </xf>
    <xf numFmtId="0" fontId="0" fillId="0" borderId="14" xfId="0" applyBorder="1" applyAlignment="1"/>
    <xf numFmtId="0" fontId="0" fillId="0" borderId="17" xfId="0" applyBorder="1" applyAlignment="1"/>
    <xf numFmtId="0" fontId="13" fillId="0" borderId="0" xfId="0" applyFont="1" applyAlignment="1"/>
    <xf numFmtId="0" fontId="0" fillId="0" borderId="0" xfId="0" applyFill="1" applyBorder="1" applyAlignment="1">
      <alignment horizontal="left"/>
    </xf>
    <xf numFmtId="10" fontId="0" fillId="0" borderId="1" xfId="0" applyNumberFormat="1" applyBorder="1" applyAlignment="1"/>
    <xf numFmtId="2" fontId="0" fillId="0" borderId="1" xfId="0" applyNumberFormat="1" applyBorder="1" applyAlignment="1"/>
    <xf numFmtId="0" fontId="0" fillId="0" borderId="0" xfId="0" applyNumberFormat="1" applyFill="1" applyBorder="1" applyAlignment="1">
      <alignment horizontal="left"/>
    </xf>
    <xf numFmtId="10" fontId="0" fillId="0" borderId="5" xfId="0" applyNumberFormat="1" applyBorder="1" applyAlignment="1"/>
    <xf numFmtId="0" fontId="0" fillId="0" borderId="0" xfId="0" applyFill="1" applyBorder="1" applyAlignment="1"/>
  </cellXfs>
  <cellStyles count="6">
    <cellStyle name="Normal" xfId="0" builtinId="0"/>
    <cellStyle name="Comma" xfId="1" builtinId="3"/>
    <cellStyle name="Currency" xfId="2" builtinId="4"/>
    <cellStyle name="Comma[0]" xfId="3" builtinId="6"/>
    <cellStyle name="Percent" xfId="4" builtinId="5"/>
    <cellStyle name="Currency[0]" xfId="5" builtinId="7"/>
  </cellStyles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worksheet" Target="worksheets/sheet1.xml"/><Relationship Id="rId10" Type="http://schemas.openxmlformats.org/officeDocument/2006/relationships/worksheet" Target="worksheets/sheet10.xml"/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worksheet" Target="worksheets/sheet13.xml"/><Relationship Id="rId14" Type="http://schemas.openxmlformats.org/officeDocument/2006/relationships/worksheet" Target="worksheets/sheet14.xml"/><Relationship Id="rId15" Type="http://schemas.openxmlformats.org/officeDocument/2006/relationships/worksheet" Target="worksheets/sheet15.xml"/><Relationship Id="rId16" Type="http://schemas.openxmlformats.org/officeDocument/2006/relationships/worksheet" Target="worksheets/sheet16.xml"/><Relationship Id="rId17" Type="http://schemas.openxmlformats.org/officeDocument/2006/relationships/worksheet" Target="worksheets/sheet17.xml"/><Relationship Id="rId18" Type="http://schemas.openxmlformats.org/officeDocument/2006/relationships/worksheet" Target="worksheets/sheet18.xml"/><Relationship Id="rId19" Type="http://schemas.openxmlformats.org/officeDocument/2006/relationships/worksheet" Target="worksheets/sheet19.xml"/><Relationship Id="rId2" Type="http://schemas.openxmlformats.org/officeDocument/2006/relationships/worksheet" Target="worksheets/sheet2.xml"/><Relationship Id="rId20" Type="http://schemas.openxmlformats.org/officeDocument/2006/relationships/worksheet" Target="worksheets/sheet20.xml"/><Relationship Id="rId21" Type="http://schemas.openxmlformats.org/officeDocument/2006/relationships/worksheet" Target="worksheets/sheet21.xml"/><Relationship Id="rId22" Type="http://schemas.openxmlformats.org/officeDocument/2006/relationships/worksheet" Target="worksheets/sheet22.xml"/><Relationship Id="rId23" Type="http://schemas.openxmlformats.org/officeDocument/2006/relationships/worksheet" Target="worksheets/sheet23.xml"/><Relationship Id="rId24" Type="http://schemas.openxmlformats.org/officeDocument/2006/relationships/worksheet" Target="worksheets/sheet24.xml"/><Relationship Id="rId25" Type="http://schemas.openxmlformats.org/officeDocument/2006/relationships/worksheet" Target="worksheets/sheet25.xml"/><Relationship Id="rId26" Type="http://schemas.openxmlformats.org/officeDocument/2006/relationships/worksheet" Target="worksheets/sheet26.xml"/><Relationship Id="rId27" Type="http://schemas.openxmlformats.org/officeDocument/2006/relationships/worksheet" Target="worksheets/sheet27.xml"/><Relationship Id="rId28" Type="http://schemas.openxmlformats.org/officeDocument/2006/relationships/worksheet" Target="worksheets/sheet28.xml"/><Relationship Id="rId29" Type="http://schemas.openxmlformats.org/officeDocument/2006/relationships/worksheet" Target="worksheets/sheet29.xml"/><Relationship Id="rId3" Type="http://schemas.openxmlformats.org/officeDocument/2006/relationships/worksheet" Target="worksheets/sheet3.xml"/><Relationship Id="rId30" Type="http://schemas.openxmlformats.org/officeDocument/2006/relationships/worksheet" Target="worksheets/sheet30.xml"/><Relationship Id="rId31" Type="http://schemas.openxmlformats.org/officeDocument/2006/relationships/worksheet" Target="worksheets/sheet31.xml"/><Relationship Id="rId32" Type="http://schemas.openxmlformats.org/officeDocument/2006/relationships/worksheet" Target="worksheets/sheet32.xml"/><Relationship Id="rId33" Type="http://schemas.openxmlformats.org/officeDocument/2006/relationships/worksheet" Target="worksheets/sheet33.xml"/><Relationship Id="rId34" Type="http://schemas.openxmlformats.org/officeDocument/2006/relationships/worksheet" Target="worksheets/sheet34.xml"/><Relationship Id="rId35" Type="http://schemas.openxmlformats.org/officeDocument/2006/relationships/worksheet" Target="worksheets/sheet35.xml"/><Relationship Id="rId36" Type="http://schemas.openxmlformats.org/officeDocument/2006/relationships/worksheet" Target="worksheets/sheet36.xml"/><Relationship Id="rId37" Type="http://schemas.openxmlformats.org/officeDocument/2006/relationships/worksheet" Target="worksheets/sheet37.xml"/><Relationship Id="rId38" Type="http://schemas.openxmlformats.org/officeDocument/2006/relationships/worksheet" Target="worksheets/sheet38.xml"/><Relationship Id="rId39" Type="http://schemas.openxmlformats.org/officeDocument/2006/relationships/theme" Target="theme/theme1.xml"/><Relationship Id="rId4" Type="http://schemas.openxmlformats.org/officeDocument/2006/relationships/worksheet" Target="worksheets/sheet4.xml"/><Relationship Id="rId40" Type="http://schemas.openxmlformats.org/officeDocument/2006/relationships/styles" Target="styles.xml"/><Relationship Id="rId4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6"/>
  <sheetViews>
    <sheetView topLeftCell="A25" workbookViewId="0">
      <selection activeCell="A1" sqref="A1:M39"/>
    </sheetView>
  </sheetViews>
  <sheetFormatPr defaultColWidth="9" defaultRowHeight="15"/>
  <cols>
    <col min="1" max="1" width="25.5714285714286" customWidth="1"/>
    <col min="2" max="2" width="10.7142857142857" style="213" customWidth="1"/>
    <col min="3" max="6" width="10.7142857142857" customWidth="1"/>
    <col min="7" max="7" width="12.4285714285714" customWidth="1"/>
    <col min="8" max="13" width="10.7142857142857" customWidth="1"/>
    <col min="16" max="16" width="17.2857142857143" customWidth="1"/>
  </cols>
  <sheetData>
    <row r="1" customHeight="1" spans="1:13">
      <c r="A1" s="125" t="s">
        <v>0</v>
      </c>
      <c r="B1" s="166" t="s">
        <v>1</v>
      </c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200"/>
    </row>
    <row r="2" ht="13.5" customHeight="1" spans="1:13">
      <c r="A2" s="168" t="s">
        <v>2</v>
      </c>
      <c r="B2" s="169">
        <f>+K22</f>
        <v>157.5</v>
      </c>
      <c r="C2" s="214"/>
      <c r="D2" s="214"/>
      <c r="E2" s="214"/>
      <c r="F2" s="214"/>
      <c r="G2" s="214"/>
      <c r="H2" s="214"/>
      <c r="I2" s="214"/>
      <c r="J2" s="214"/>
      <c r="K2" s="214"/>
      <c r="L2" s="214"/>
      <c r="M2" s="234"/>
    </row>
    <row r="3" spans="1:13">
      <c r="A3" s="168" t="s">
        <v>3</v>
      </c>
      <c r="B3" s="169">
        <f>+M22</f>
        <v>207</v>
      </c>
      <c r="C3" s="214"/>
      <c r="D3" s="214"/>
      <c r="E3" s="214"/>
      <c r="F3" s="214"/>
      <c r="G3" s="214"/>
      <c r="H3" s="214"/>
      <c r="I3" s="214"/>
      <c r="J3" s="214"/>
      <c r="K3" s="214"/>
      <c r="L3" s="214"/>
      <c r="M3" s="234"/>
    </row>
    <row r="4" spans="1:13">
      <c r="A4" s="168" t="s">
        <v>4</v>
      </c>
      <c r="B4" s="215"/>
      <c r="C4" s="216"/>
      <c r="D4" s="172" t="s">
        <v>5</v>
      </c>
      <c r="E4" s="216">
        <v>4</v>
      </c>
      <c r="F4" s="216"/>
      <c r="G4" s="217" t="s">
        <v>6</v>
      </c>
      <c r="H4" s="174">
        <v>5725500</v>
      </c>
      <c r="I4" s="216" t="s">
        <v>7</v>
      </c>
      <c r="J4" s="172">
        <f>+K39</f>
        <v>56.56155</v>
      </c>
      <c r="K4" s="216" t="s">
        <v>8</v>
      </c>
      <c r="L4" s="216" t="s">
        <v>9</v>
      </c>
      <c r="M4" s="235"/>
    </row>
    <row r="5" spans="1:13">
      <c r="A5" s="175" t="s">
        <v>10</v>
      </c>
      <c r="B5" s="176" t="s">
        <v>11</v>
      </c>
      <c r="C5" s="177" t="s">
        <v>12</v>
      </c>
      <c r="D5" s="178">
        <v>5061000</v>
      </c>
      <c r="E5" s="178"/>
      <c r="F5" s="178"/>
      <c r="G5" s="218"/>
      <c r="H5" s="180"/>
      <c r="I5" s="236"/>
      <c r="J5" s="236"/>
      <c r="K5" s="236"/>
      <c r="L5" s="236"/>
      <c r="M5" s="237"/>
    </row>
    <row r="6" spans="1:13">
      <c r="A6" s="219" t="s">
        <v>13</v>
      </c>
      <c r="B6" s="220"/>
      <c r="C6" s="220" t="s">
        <v>14</v>
      </c>
      <c r="D6" s="220"/>
      <c r="E6" s="220"/>
      <c r="F6" s="221"/>
      <c r="G6" s="215" t="s">
        <v>15</v>
      </c>
      <c r="H6" s="220"/>
      <c r="I6" s="220"/>
      <c r="J6" s="221"/>
      <c r="K6" s="238"/>
      <c r="L6" s="239"/>
      <c r="M6" s="240"/>
    </row>
    <row r="7" ht="21" customHeight="1" spans="1:13">
      <c r="A7" s="222" t="s">
        <v>16</v>
      </c>
      <c r="B7" s="222" t="s">
        <v>17</v>
      </c>
      <c r="C7" s="222" t="s">
        <v>18</v>
      </c>
      <c r="D7" s="222" t="s">
        <v>19</v>
      </c>
      <c r="E7" s="222" t="s">
        <v>20</v>
      </c>
      <c r="F7" s="222" t="s">
        <v>21</v>
      </c>
      <c r="G7" s="222" t="s">
        <v>18</v>
      </c>
      <c r="H7" s="222" t="s">
        <v>19</v>
      </c>
      <c r="I7" s="222" t="s">
        <v>20</v>
      </c>
      <c r="J7" s="222" t="s">
        <v>21</v>
      </c>
      <c r="K7" s="222" t="s">
        <v>22</v>
      </c>
      <c r="L7" s="222" t="s">
        <v>23</v>
      </c>
      <c r="M7" s="222" t="s">
        <v>24</v>
      </c>
    </row>
    <row r="8" ht="20.1" customHeight="1" spans="1:13">
      <c r="A8" s="184" t="s">
        <v>25</v>
      </c>
      <c r="B8" s="185">
        <f>SUM(C8:F8)</f>
        <v>16</v>
      </c>
      <c r="C8" s="185">
        <v>2</v>
      </c>
      <c r="D8" s="185">
        <v>3</v>
      </c>
      <c r="E8" s="185">
        <v>5</v>
      </c>
      <c r="F8" s="185">
        <v>6</v>
      </c>
      <c r="G8" s="223"/>
      <c r="H8" s="223">
        <v>2</v>
      </c>
      <c r="I8" s="223"/>
      <c r="J8" s="223">
        <v>14</v>
      </c>
      <c r="K8" s="224">
        <f t="shared" ref="K8:K9" si="0">SUM(G8:J8)</f>
        <v>16</v>
      </c>
      <c r="L8" s="224">
        <f>+((C8+D8+E8+F8)-(G8+H8+I8+J8))*-1</f>
        <v>0</v>
      </c>
      <c r="M8" s="223"/>
    </row>
    <row r="9" ht="20.1" customHeight="1" spans="1:13">
      <c r="A9" s="184" t="s">
        <v>26</v>
      </c>
      <c r="B9" s="185">
        <f t="shared" ref="B9:B21" si="1">SUM(C9:F9)</f>
        <v>15</v>
      </c>
      <c r="C9" s="185">
        <v>5</v>
      </c>
      <c r="D9" s="185">
        <v>3</v>
      </c>
      <c r="E9" s="185">
        <v>5</v>
      </c>
      <c r="F9" s="185">
        <v>2</v>
      </c>
      <c r="G9" s="224">
        <v>10</v>
      </c>
      <c r="H9" s="223">
        <v>3</v>
      </c>
      <c r="I9" s="223">
        <v>2</v>
      </c>
      <c r="J9" s="223"/>
      <c r="K9" s="224">
        <f>SUM(G9:J9)</f>
        <v>15</v>
      </c>
      <c r="L9" s="224">
        <f t="shared" ref="L9:L22" si="2">+((C9+D9+E9+F9)-(G9+H9+I9+J9))*-1</f>
        <v>0</v>
      </c>
      <c r="M9" s="223">
        <v>7</v>
      </c>
    </row>
    <row r="10" ht="20.1" customHeight="1" spans="1:13">
      <c r="A10" s="184" t="s">
        <v>27</v>
      </c>
      <c r="B10" s="185">
        <f>SUM(C10:F10)</f>
        <v>12</v>
      </c>
      <c r="C10" s="185">
        <v>2</v>
      </c>
      <c r="D10" s="185">
        <v>3</v>
      </c>
      <c r="E10" s="185">
        <v>4</v>
      </c>
      <c r="F10" s="185">
        <v>3</v>
      </c>
      <c r="G10" s="224"/>
      <c r="H10" s="223">
        <v>1</v>
      </c>
      <c r="I10" s="223"/>
      <c r="J10" s="223">
        <v>5</v>
      </c>
      <c r="K10" s="224">
        <f t="shared" ref="K10:K21" si="3">SUM(G10:J10)</f>
        <v>6</v>
      </c>
      <c r="L10" s="224">
        <f>+((C10+D10+E10+F10)-(G10+H10+I10+J10))*-1</f>
        <v>-6</v>
      </c>
      <c r="M10" s="223">
        <v>1</v>
      </c>
    </row>
    <row r="11" ht="20.1" customHeight="1" spans="1:13">
      <c r="A11" s="184" t="s">
        <v>28</v>
      </c>
      <c r="B11" s="185">
        <f>SUM(C11:F11)</f>
        <v>12</v>
      </c>
      <c r="C11" s="185">
        <v>2</v>
      </c>
      <c r="D11" s="185">
        <v>2</v>
      </c>
      <c r="E11" s="185">
        <v>3</v>
      </c>
      <c r="F11" s="185">
        <v>5</v>
      </c>
      <c r="G11" s="224">
        <v>5.5</v>
      </c>
      <c r="H11" s="223">
        <v>12</v>
      </c>
      <c r="I11" s="223"/>
      <c r="J11" s="223">
        <v>10</v>
      </c>
      <c r="K11" s="224">
        <f>SUM(G11:J11)</f>
        <v>27.5</v>
      </c>
      <c r="L11" s="224">
        <f>+((C11+D11+E11+F11)-(G11+H11+I11+J11))*-1</f>
        <v>15.5</v>
      </c>
      <c r="M11" s="224">
        <v>48</v>
      </c>
    </row>
    <row r="12" ht="20.1" customHeight="1" spans="1:13">
      <c r="A12" s="184" t="s">
        <v>29</v>
      </c>
      <c r="B12" s="185">
        <f>SUM(C12:F12)</f>
        <v>10</v>
      </c>
      <c r="C12" s="185">
        <v>2</v>
      </c>
      <c r="D12" s="185">
        <v>2</v>
      </c>
      <c r="E12" s="185">
        <v>2</v>
      </c>
      <c r="F12" s="185">
        <v>4</v>
      </c>
      <c r="G12" s="224">
        <v>10</v>
      </c>
      <c r="H12" s="223"/>
      <c r="I12" s="223"/>
      <c r="J12" s="223"/>
      <c r="K12" s="224">
        <f>SUM(G12:J12)</f>
        <v>10</v>
      </c>
      <c r="L12" s="224">
        <f>+((C12+D12+E12+F12)-(G12+H12+I12+J12))*-1</f>
        <v>0</v>
      </c>
      <c r="M12" s="224"/>
    </row>
    <row r="13" ht="20.1" customHeight="1" spans="1:14">
      <c r="A13" s="184" t="s">
        <v>30</v>
      </c>
      <c r="B13" s="185">
        <f>SUM(C13:F13)</f>
        <v>10</v>
      </c>
      <c r="C13" s="185">
        <v>1</v>
      </c>
      <c r="D13" s="185">
        <v>2</v>
      </c>
      <c r="E13" s="185">
        <v>3</v>
      </c>
      <c r="F13" s="185">
        <v>4</v>
      </c>
      <c r="G13" s="224"/>
      <c r="H13" s="223"/>
      <c r="I13" s="223"/>
      <c r="J13" s="223"/>
      <c r="K13" s="224">
        <f>SUM(G13:J13)</f>
        <v>0</v>
      </c>
      <c r="L13" s="224">
        <f>+((C13+D13+E13+F13)-(G13+H13+I13+J13))*-1</f>
        <v>-10</v>
      </c>
      <c r="M13" s="224">
        <v>24</v>
      </c>
      <c r="N13" s="241"/>
    </row>
    <row r="14" ht="20.1" customHeight="1" spans="1:13">
      <c r="A14" s="184" t="s">
        <v>31</v>
      </c>
      <c r="B14" s="185">
        <f>SUM(C14:F14)</f>
        <v>10</v>
      </c>
      <c r="C14" s="185">
        <v>1</v>
      </c>
      <c r="D14" s="185">
        <v>2</v>
      </c>
      <c r="E14" s="185">
        <v>3</v>
      </c>
      <c r="F14" s="185">
        <v>4</v>
      </c>
      <c r="G14" s="224"/>
      <c r="H14" s="223">
        <v>3</v>
      </c>
      <c r="I14" s="223"/>
      <c r="J14" s="223">
        <v>5</v>
      </c>
      <c r="K14" s="224">
        <f>SUM(G14:J14)</f>
        <v>8</v>
      </c>
      <c r="L14" s="224">
        <f>+((C14+D14+E14+F14)-(G14+H14+I14+J14))*-1</f>
        <v>-2</v>
      </c>
      <c r="M14" s="224">
        <v>6</v>
      </c>
    </row>
    <row r="15" ht="20.1" customHeight="1" spans="1:13">
      <c r="A15" s="184" t="s">
        <v>32</v>
      </c>
      <c r="B15" s="185">
        <f>SUM(C15:F15)</f>
        <v>10</v>
      </c>
      <c r="C15" s="185">
        <v>1</v>
      </c>
      <c r="D15" s="185">
        <v>2</v>
      </c>
      <c r="E15" s="185">
        <v>3</v>
      </c>
      <c r="F15" s="185">
        <v>4</v>
      </c>
      <c r="G15" s="224"/>
      <c r="H15" s="223">
        <v>5</v>
      </c>
      <c r="I15" s="223"/>
      <c r="J15" s="223">
        <v>5</v>
      </c>
      <c r="K15" s="224">
        <f>SUM(G15:J15)</f>
        <v>10</v>
      </c>
      <c r="L15" s="224">
        <f>+((C15+D15+E15+F15)-(G15+H15+I15+J15))*-1</f>
        <v>0</v>
      </c>
      <c r="M15" s="224">
        <v>16</v>
      </c>
    </row>
    <row r="16" spans="1:13">
      <c r="A16" s="184" t="s">
        <v>33</v>
      </c>
      <c r="B16" s="185">
        <f>SUM(C16:F16)</f>
        <v>10</v>
      </c>
      <c r="C16" s="185">
        <v>2</v>
      </c>
      <c r="D16" s="185">
        <v>2</v>
      </c>
      <c r="E16" s="185">
        <v>2</v>
      </c>
      <c r="F16" s="185">
        <v>4</v>
      </c>
      <c r="G16" s="224"/>
      <c r="H16" s="223"/>
      <c r="I16" s="223"/>
      <c r="J16" s="223">
        <v>13</v>
      </c>
      <c r="K16" s="224">
        <f>SUM(G16:J16)</f>
        <v>13</v>
      </c>
      <c r="L16" s="224">
        <f>+((C16+D16+E16+F16)-(G16+H16+I16+J16))*-1</f>
        <v>3</v>
      </c>
      <c r="M16" s="224">
        <v>31</v>
      </c>
    </row>
    <row r="17" spans="1:13">
      <c r="A17" s="184" t="s">
        <v>34</v>
      </c>
      <c r="B17" s="185">
        <f>SUM(C17:F17)</f>
        <v>5</v>
      </c>
      <c r="C17" s="185">
        <v>1</v>
      </c>
      <c r="D17" s="185">
        <v>1</v>
      </c>
      <c r="E17" s="185">
        <v>1</v>
      </c>
      <c r="F17" s="185">
        <v>2</v>
      </c>
      <c r="G17" s="224"/>
      <c r="H17" s="223"/>
      <c r="I17" s="223"/>
      <c r="J17" s="223"/>
      <c r="K17" s="224">
        <f>SUM(G17:J17)</f>
        <v>0</v>
      </c>
      <c r="L17" s="224">
        <f>+((C17+D17+E17+F17)-(G17+H17+I17+J17))*-1</f>
        <v>-5</v>
      </c>
      <c r="M17" s="224">
        <v>22</v>
      </c>
    </row>
    <row r="18" spans="1:13">
      <c r="A18" s="125" t="s">
        <v>35</v>
      </c>
      <c r="B18" s="185">
        <f>SUM(C18:F18)</f>
        <v>15</v>
      </c>
      <c r="C18" s="185">
        <v>2</v>
      </c>
      <c r="D18" s="185">
        <v>2</v>
      </c>
      <c r="E18" s="185">
        <v>5</v>
      </c>
      <c r="F18" s="185">
        <v>6</v>
      </c>
      <c r="G18" s="224"/>
      <c r="H18" s="223"/>
      <c r="I18" s="223">
        <v>7</v>
      </c>
      <c r="J18" s="223">
        <v>8</v>
      </c>
      <c r="K18" s="224">
        <f>SUM(G18:J18)</f>
        <v>15</v>
      </c>
      <c r="L18" s="224">
        <f>+((C18+D18+E18+F18)-(G18+H18+I18+J18))*-1</f>
        <v>0</v>
      </c>
      <c r="M18" s="224"/>
    </row>
    <row r="19" spans="1:13">
      <c r="A19" s="125" t="s">
        <v>36</v>
      </c>
      <c r="B19" s="185">
        <f>SUM(C19:F19)</f>
        <v>5</v>
      </c>
      <c r="C19" s="185">
        <v>1</v>
      </c>
      <c r="D19" s="185">
        <v>1</v>
      </c>
      <c r="E19" s="185">
        <v>1</v>
      </c>
      <c r="F19" s="185">
        <v>2</v>
      </c>
      <c r="G19" s="224"/>
      <c r="H19" s="223"/>
      <c r="I19" s="223"/>
      <c r="J19" s="223">
        <v>9</v>
      </c>
      <c r="K19" s="224">
        <f>SUM(G19:J19)</f>
        <v>9</v>
      </c>
      <c r="L19" s="224">
        <f>+((C19+D19+E19+F19)-(G19+H19+I19+J19))*-1</f>
        <v>4</v>
      </c>
      <c r="M19" s="224">
        <v>37</v>
      </c>
    </row>
    <row r="20" spans="1:13">
      <c r="A20" s="125" t="s">
        <v>37</v>
      </c>
      <c r="B20" s="185"/>
      <c r="C20" s="185"/>
      <c r="D20" s="185"/>
      <c r="E20" s="185"/>
      <c r="F20" s="185"/>
      <c r="G20" s="224"/>
      <c r="H20" s="223"/>
      <c r="I20" s="223">
        <v>1</v>
      </c>
      <c r="J20" s="223"/>
      <c r="K20" s="224">
        <f>SUM(G20:J20)</f>
        <v>1</v>
      </c>
      <c r="L20" s="224">
        <f>+((C20+D20+E20+F20)-(G20+H20+I20+J20))*-1</f>
        <v>1</v>
      </c>
      <c r="M20" s="224">
        <v>3</v>
      </c>
    </row>
    <row r="21" spans="1:13">
      <c r="A21" s="184" t="s">
        <v>38</v>
      </c>
      <c r="B21" s="185">
        <f>SUM(C21:F21)</f>
        <v>20</v>
      </c>
      <c r="C21" s="185">
        <v>3</v>
      </c>
      <c r="D21" s="185">
        <v>4</v>
      </c>
      <c r="E21" s="185">
        <v>6</v>
      </c>
      <c r="F21" s="185">
        <v>7</v>
      </c>
      <c r="G21" s="187">
        <v>2</v>
      </c>
      <c r="H21" s="223">
        <v>3</v>
      </c>
      <c r="I21" s="223">
        <v>3</v>
      </c>
      <c r="J21" s="223">
        <v>19</v>
      </c>
      <c r="K21" s="224">
        <f>SUM(G21:J21)</f>
        <v>27</v>
      </c>
      <c r="L21" s="224">
        <f>+((C21+D21+E21+F21)-(G21+H21+I21+J21))*-1</f>
        <v>7</v>
      </c>
      <c r="M21" s="224">
        <v>12</v>
      </c>
    </row>
    <row r="22" spans="1:13">
      <c r="A22" s="188" t="s">
        <v>39</v>
      </c>
      <c r="B22" s="189">
        <f>SUM(B8:B21)</f>
        <v>150</v>
      </c>
      <c r="C22" s="189">
        <f>SUM(C8:C21)</f>
        <v>25</v>
      </c>
      <c r="D22" s="189">
        <f t="shared" ref="D22:F22" si="4">SUM(D8:D21)</f>
        <v>29</v>
      </c>
      <c r="E22" s="189">
        <f>SUM(E8:E21)</f>
        <v>43</v>
      </c>
      <c r="F22" s="189">
        <f>SUM(F8:F21)</f>
        <v>53</v>
      </c>
      <c r="G22" s="189">
        <f t="shared" ref="G22:M22" si="5">SUM(G8:G21)</f>
        <v>27.5</v>
      </c>
      <c r="H22" s="189">
        <f>SUM(H8:H21)</f>
        <v>29</v>
      </c>
      <c r="I22" s="189">
        <f>SUM(I8:I21)</f>
        <v>13</v>
      </c>
      <c r="J22" s="189">
        <f>SUM(J8:J21)</f>
        <v>88</v>
      </c>
      <c r="K22" s="189">
        <f>SUM(K8:K21)</f>
        <v>157.5</v>
      </c>
      <c r="L22" s="224">
        <f>+((C22+D22+E22+F22)-(G22+H22+I22+J22))*-1</f>
        <v>7.5</v>
      </c>
      <c r="M22" s="189">
        <f>SUM(M8:M21)</f>
        <v>207</v>
      </c>
    </row>
    <row r="23" ht="14.25" customHeight="1" spans="1:15">
      <c r="A23" s="190" t="s">
        <v>40</v>
      </c>
      <c r="B23" s="191"/>
      <c r="C23" s="220" t="s">
        <v>14</v>
      </c>
      <c r="D23" s="220"/>
      <c r="E23" s="220"/>
      <c r="F23" s="221"/>
      <c r="G23" s="215" t="s">
        <v>15</v>
      </c>
      <c r="H23" s="220"/>
      <c r="I23" s="220"/>
      <c r="J23" s="221"/>
      <c r="K23" s="238"/>
      <c r="L23" s="239"/>
      <c r="M23" s="240"/>
      <c r="N23" s="89"/>
      <c r="O23" s="242"/>
    </row>
    <row r="24" ht="21" customHeight="1" spans="1:15">
      <c r="A24" s="222" t="s">
        <v>16</v>
      </c>
      <c r="B24" s="222" t="s">
        <v>17</v>
      </c>
      <c r="C24" s="222" t="s">
        <v>18</v>
      </c>
      <c r="D24" s="222" t="s">
        <v>19</v>
      </c>
      <c r="E24" s="222" t="s">
        <v>20</v>
      </c>
      <c r="F24" s="222" t="s">
        <v>21</v>
      </c>
      <c r="G24" s="222" t="s">
        <v>18</v>
      </c>
      <c r="H24" s="222" t="s">
        <v>19</v>
      </c>
      <c r="I24" s="222" t="s">
        <v>20</v>
      </c>
      <c r="J24" s="222" t="s">
        <v>21</v>
      </c>
      <c r="K24" s="222" t="s">
        <v>22</v>
      </c>
      <c r="L24" s="222" t="s">
        <v>41</v>
      </c>
      <c r="M24" s="47" t="s">
        <v>42</v>
      </c>
      <c r="N24" s="89"/>
      <c r="O24" s="242"/>
    </row>
    <row r="25" spans="1:15">
      <c r="A25" s="184" t="s">
        <v>25</v>
      </c>
      <c r="B25" s="225">
        <f>SUM(C25:G25)</f>
        <v>0</v>
      </c>
      <c r="C25" s="223"/>
      <c r="D25" s="185"/>
      <c r="E25" s="185"/>
      <c r="F25" s="185"/>
      <c r="G25" s="185"/>
      <c r="H25" s="223"/>
      <c r="I25" s="223"/>
      <c r="J25" s="223"/>
      <c r="K25" s="223">
        <f t="shared" ref="K25:K38" si="6">SUM(G25:J25)</f>
        <v>0</v>
      </c>
      <c r="L25" s="223">
        <f>+((C25+D25+E25+F25)-(G25+H25+I25+J25))*-1</f>
        <v>0</v>
      </c>
      <c r="M25" s="243"/>
      <c r="N25" s="89"/>
      <c r="O25" s="242"/>
    </row>
    <row r="26" spans="1:15">
      <c r="A26" s="184" t="s">
        <v>26</v>
      </c>
      <c r="B26" s="225">
        <f>SUM(C26:F26)</f>
        <v>7.5</v>
      </c>
      <c r="C26" s="193">
        <v>1</v>
      </c>
      <c r="D26" s="193">
        <v>2.5</v>
      </c>
      <c r="E26" s="193">
        <v>1.5</v>
      </c>
      <c r="F26" s="193">
        <v>2.5</v>
      </c>
      <c r="G26" s="194">
        <f>(9900+8800+30900+53200+20120)/100000</f>
        <v>1.2292</v>
      </c>
      <c r="H26" s="226">
        <f>(25100+17600+88900+59550)/100000</f>
        <v>1.9115</v>
      </c>
      <c r="I26" s="223">
        <f>(63300+16800+12300+30000+54800)/100000</f>
        <v>1.772</v>
      </c>
      <c r="J26" s="244">
        <f>(46800+30800+79400+70300+13200+36700+9500)/100000</f>
        <v>2.867</v>
      </c>
      <c r="K26" s="223">
        <f>SUM(G26:J26)</f>
        <v>7.7797</v>
      </c>
      <c r="L26" s="223">
        <f t="shared" ref="L26:L39" si="7">+((C26+D26+E26+F26)-(G26+H26+I26+J26))*-1</f>
        <v>0.2797</v>
      </c>
      <c r="M26" s="243">
        <f>+K26/B26</f>
        <v>1.03729333333333</v>
      </c>
      <c r="N26" s="92"/>
      <c r="O26" s="245"/>
    </row>
    <row r="27" spans="1:15">
      <c r="A27" s="184" t="s">
        <v>27</v>
      </c>
      <c r="B27" s="225">
        <f t="shared" ref="B27:B28" si="8">SUM(C27:F27)</f>
        <v>5</v>
      </c>
      <c r="C27" s="193">
        <v>0.9</v>
      </c>
      <c r="D27" s="227">
        <v>1.35</v>
      </c>
      <c r="E27" s="193">
        <v>0.75</v>
      </c>
      <c r="F27" s="193">
        <v>2</v>
      </c>
      <c r="G27" s="194">
        <f>+(5800+12600+9500+17700)/100000</f>
        <v>0.456</v>
      </c>
      <c r="H27" s="223">
        <f>(17200+14100+17300+14500+6000)/100000</f>
        <v>0.691</v>
      </c>
      <c r="I27" s="223">
        <f>(21800+8100+38500+8900+24900)/100000</f>
        <v>1.022</v>
      </c>
      <c r="J27" s="244">
        <f>(3000+17300+68000+23200+7800+14400+11600)/100000</f>
        <v>1.453</v>
      </c>
      <c r="K27" s="223">
        <f>SUM(G27:J27)</f>
        <v>3.622</v>
      </c>
      <c r="L27" s="223">
        <f>+((C27+D27+E27+F27)-(G27+H27+I27+J27))*-1</f>
        <v>-1.378</v>
      </c>
      <c r="M27" s="243">
        <f t="shared" ref="M27:M39" si="9">+K27/B27</f>
        <v>0.7244</v>
      </c>
      <c r="N27" s="92"/>
      <c r="O27" s="245"/>
    </row>
    <row r="28" spans="1:15">
      <c r="A28" s="184" t="s">
        <v>28</v>
      </c>
      <c r="B28" s="225">
        <f>SUM(C28:F28)</f>
        <v>13</v>
      </c>
      <c r="C28" s="193">
        <v>2.2</v>
      </c>
      <c r="D28" s="193">
        <v>3.1</v>
      </c>
      <c r="E28" s="193">
        <v>3.1</v>
      </c>
      <c r="F28" s="193">
        <v>4.6</v>
      </c>
      <c r="G28" s="194">
        <f>(19850+25450+46850+34050+32830+30600)/100000</f>
        <v>1.8963</v>
      </c>
      <c r="H28" s="196">
        <f>(20750+41150+86675+80100+35950)/100000</f>
        <v>2.64625</v>
      </c>
      <c r="I28" s="223">
        <f>(29200+28200+24350+30750+50650)/100000</f>
        <v>1.6315</v>
      </c>
      <c r="J28" s="244">
        <f>(43150+99050+164000+34150+41400+35550+72250)/100000</f>
        <v>4.8955</v>
      </c>
      <c r="K28" s="223">
        <f>SUM(G28:J28)</f>
        <v>11.06955</v>
      </c>
      <c r="L28" s="223">
        <f>+((C28+D28+E28+F28)-(G28+H28+I28+J28))*-1</f>
        <v>-1.93045</v>
      </c>
      <c r="M28" s="243">
        <f>+K28/B28</f>
        <v>0.851503846153846</v>
      </c>
      <c r="N28" s="92"/>
      <c r="O28" s="245"/>
    </row>
    <row r="29" spans="1:15">
      <c r="A29" s="184" t="s">
        <v>29</v>
      </c>
      <c r="B29" s="225">
        <v>1</v>
      </c>
      <c r="C29" s="223">
        <v>0.15</v>
      </c>
      <c r="D29" s="194">
        <v>0.3</v>
      </c>
      <c r="E29" s="194">
        <v>0.2</v>
      </c>
      <c r="F29" s="194">
        <v>0.35</v>
      </c>
      <c r="G29" s="194">
        <f>+(8000+8000)/100000</f>
        <v>0.16</v>
      </c>
      <c r="H29" s="223">
        <f>(8000+10800+31000)/100000</f>
        <v>0.498</v>
      </c>
      <c r="I29" s="223">
        <f>(29400)/100000</f>
        <v>0.294</v>
      </c>
      <c r="J29" s="244">
        <f>(15800+21000+33800+10800)/100000</f>
        <v>0.814</v>
      </c>
      <c r="K29" s="223">
        <f>SUM(G29:J29)</f>
        <v>1.766</v>
      </c>
      <c r="L29" s="223">
        <f>+((C29+D29+E29+F29)-(G29+H29+I29+J29))*-1</f>
        <v>0.766</v>
      </c>
      <c r="M29" s="243">
        <f>+K29/B29</f>
        <v>1.766</v>
      </c>
      <c r="N29" s="92"/>
      <c r="O29" s="245"/>
    </row>
    <row r="30" spans="1:15">
      <c r="A30" s="184" t="s">
        <v>30</v>
      </c>
      <c r="B30" s="225">
        <v>5</v>
      </c>
      <c r="C30" s="223">
        <v>0.75</v>
      </c>
      <c r="D30" s="194">
        <v>1.5</v>
      </c>
      <c r="E30" s="194">
        <v>1</v>
      </c>
      <c r="F30" s="194">
        <v>1.75</v>
      </c>
      <c r="G30" s="194">
        <f>(4400+4400)/100000</f>
        <v>0.088</v>
      </c>
      <c r="H30" s="223">
        <f>(35320+32440)/100000</f>
        <v>0.6776</v>
      </c>
      <c r="I30" s="223">
        <f>(13200+4400+44000)/100000</f>
        <v>0.616</v>
      </c>
      <c r="J30" s="244">
        <f>(52800+13200+2200)/100000</f>
        <v>0.682</v>
      </c>
      <c r="K30" s="223">
        <f>SUM(G30:J30)</f>
        <v>2.0636</v>
      </c>
      <c r="L30" s="223">
        <f>+((C30+D30+E30+F30)-(G30+H30+I30+J30))*-1</f>
        <v>-2.9364</v>
      </c>
      <c r="M30" s="243">
        <f>+K30/B30</f>
        <v>0.41272</v>
      </c>
      <c r="N30" s="94"/>
      <c r="O30" s="95"/>
    </row>
    <row r="31" spans="1:15">
      <c r="A31" s="184" t="s">
        <v>31</v>
      </c>
      <c r="B31" s="225">
        <v>5.5</v>
      </c>
      <c r="C31" s="223">
        <v>1.5</v>
      </c>
      <c r="D31" s="194">
        <v>1.35</v>
      </c>
      <c r="E31" s="194">
        <v>1.25</v>
      </c>
      <c r="F31" s="194">
        <v>1.4</v>
      </c>
      <c r="G31" s="194">
        <f>(4800+16100+18600+12300+21100+20100)/100000</f>
        <v>0.93</v>
      </c>
      <c r="H31" s="223">
        <f>(16300+12400+24600+19050+9600)/100000</f>
        <v>0.8195</v>
      </c>
      <c r="I31" s="223">
        <f>(7200+33700+18600+17100+18500)/100000</f>
        <v>0.951</v>
      </c>
      <c r="J31" s="244">
        <f>(17800+23800+36700+19700+26900+15800+20800)/100000</f>
        <v>1.615</v>
      </c>
      <c r="K31" s="223">
        <f>SUM(G31:J31)</f>
        <v>4.3155</v>
      </c>
      <c r="L31" s="223">
        <f>+((C31+D31+E31+F31)-(G31+H31+I31+J31))*-1</f>
        <v>-1.1845</v>
      </c>
      <c r="M31" s="243">
        <f>+K31/B31</f>
        <v>0.784636363636364</v>
      </c>
      <c r="N31" s="92"/>
      <c r="O31" s="245"/>
    </row>
    <row r="32" spans="1:15">
      <c r="A32" s="184" t="s">
        <v>32</v>
      </c>
      <c r="B32" s="225">
        <v>6</v>
      </c>
      <c r="C32" s="223">
        <v>1.3</v>
      </c>
      <c r="D32" s="194">
        <v>1.2</v>
      </c>
      <c r="E32" s="194">
        <v>1.3</v>
      </c>
      <c r="F32" s="194">
        <v>2.2</v>
      </c>
      <c r="G32" s="194">
        <f>(8500+17200+19200+13300+18700+25100)/100000</f>
        <v>1.02</v>
      </c>
      <c r="H32" s="223">
        <f>(31000+17650+15100+16600+30800)/100000</f>
        <v>1.1115</v>
      </c>
      <c r="I32" s="223">
        <f>(33100+20300+22960+24100+18000+12100)/100000</f>
        <v>1.3056</v>
      </c>
      <c r="J32" s="244">
        <f>(16200+53200+20130+34700+12850+14200)/100000</f>
        <v>1.5128</v>
      </c>
      <c r="K32" s="223">
        <f>SUM(G32:J32)</f>
        <v>4.9499</v>
      </c>
      <c r="L32" s="223">
        <f>+((C32+D32+E32+F32)-(G32+H32+I32+J32))*-1</f>
        <v>-1.0501</v>
      </c>
      <c r="M32" s="243">
        <f>+K32/B32</f>
        <v>0.824983333333333</v>
      </c>
      <c r="N32" s="92"/>
      <c r="O32" s="245"/>
    </row>
    <row r="33" spans="1:15">
      <c r="A33" s="125" t="s">
        <v>43</v>
      </c>
      <c r="B33" s="225">
        <v>5.5</v>
      </c>
      <c r="C33" s="223">
        <v>1.15</v>
      </c>
      <c r="D33" s="194">
        <v>1.4</v>
      </c>
      <c r="E33" s="194">
        <v>1.2</v>
      </c>
      <c r="F33" s="194">
        <v>1.75</v>
      </c>
      <c r="G33" s="194">
        <f>(5150+18250+10200+8640+28300+21830)/100000</f>
        <v>0.9237</v>
      </c>
      <c r="H33" s="223">
        <f>(20340+19040+8000+103700+16800)/100000</f>
        <v>1.6788</v>
      </c>
      <c r="I33" s="223">
        <f>(26800+25200+16200+13700+10700+8200)/100000</f>
        <v>1.008</v>
      </c>
      <c r="J33" s="244">
        <f>(25800+44450+43100+33800+62100+20400)/100000</f>
        <v>2.2965</v>
      </c>
      <c r="K33" s="223">
        <f>SUM(G33:J33)</f>
        <v>5.907</v>
      </c>
      <c r="L33" s="223">
        <f>+((C33+D33+E33+F33)-(G33+H33+I33+J33))*-1</f>
        <v>0.407</v>
      </c>
      <c r="M33" s="243">
        <f>+K33/B33</f>
        <v>1.074</v>
      </c>
      <c r="N33" s="92"/>
      <c r="O33" s="245"/>
    </row>
    <row r="34" spans="1:15">
      <c r="A34" s="125" t="s">
        <v>37</v>
      </c>
      <c r="B34" s="225">
        <v>2.5</v>
      </c>
      <c r="C34" s="223">
        <v>0.5</v>
      </c>
      <c r="D34" s="194">
        <v>0.5</v>
      </c>
      <c r="E34" s="194">
        <v>0.5</v>
      </c>
      <c r="F34" s="194">
        <v>1</v>
      </c>
      <c r="G34" s="194">
        <f>+(3500+17600+9600+23560)/100000</f>
        <v>0.5426</v>
      </c>
      <c r="H34" s="223">
        <f>(32000+2000)/100000</f>
        <v>0.34</v>
      </c>
      <c r="I34" s="223">
        <f>(17600+8800+17600+1100)/100000</f>
        <v>0.451</v>
      </c>
      <c r="J34" s="244">
        <f>(17800+4400)/100000</f>
        <v>0.222</v>
      </c>
      <c r="K34" s="223">
        <f>SUM(G34:J34)</f>
        <v>1.5556</v>
      </c>
      <c r="L34" s="223">
        <f>+((C34+D34+E34+F34)-(G34+H34+I34+J34))*-1</f>
        <v>-0.9444</v>
      </c>
      <c r="M34" s="243">
        <f>+K34/B34</f>
        <v>0.62224</v>
      </c>
      <c r="N34" s="92"/>
      <c r="O34" s="245"/>
    </row>
    <row r="35" spans="1:15">
      <c r="A35" s="125" t="s">
        <v>35</v>
      </c>
      <c r="B35" s="225">
        <v>2</v>
      </c>
      <c r="C35" s="223">
        <v>0.3</v>
      </c>
      <c r="D35" s="194">
        <v>0.5</v>
      </c>
      <c r="E35" s="194">
        <v>0.5</v>
      </c>
      <c r="F35" s="194">
        <v>0.7</v>
      </c>
      <c r="G35" s="194"/>
      <c r="H35" s="223"/>
      <c r="I35" s="223">
        <f>(52000)/100000</f>
        <v>0.52</v>
      </c>
      <c r="J35" s="244">
        <f>(10000+8700+38000)/100000</f>
        <v>0.567</v>
      </c>
      <c r="K35" s="223">
        <f>SUM(G35:J35)</f>
        <v>1.087</v>
      </c>
      <c r="L35" s="223">
        <f>+((C35+D35+E35+F35)-(G35+H35+I35+J35))*-1</f>
        <v>-0.913</v>
      </c>
      <c r="M35" s="243">
        <f>+K35/B35</f>
        <v>0.5435</v>
      </c>
      <c r="N35" s="92"/>
      <c r="O35" s="245"/>
    </row>
    <row r="36" spans="1:15">
      <c r="A36" s="184" t="s">
        <v>33</v>
      </c>
      <c r="B36" s="225">
        <v>0</v>
      </c>
      <c r="C36" s="223"/>
      <c r="D36" s="228"/>
      <c r="E36" s="228"/>
      <c r="F36" s="228"/>
      <c r="G36" s="228"/>
      <c r="H36" s="223"/>
      <c r="I36" s="223"/>
      <c r="J36" s="244"/>
      <c r="K36" s="223">
        <f>SUM(G36:J36)</f>
        <v>0</v>
      </c>
      <c r="L36" s="223">
        <f>+((C36+D36+E36+F36)-(G36+H36+I36+J36))*-1</f>
        <v>0</v>
      </c>
      <c r="M36" s="243" t="e">
        <f>+K36/B36</f>
        <v>#DIV/0!</v>
      </c>
      <c r="N36" s="92"/>
      <c r="O36" s="245"/>
    </row>
    <row r="37" spans="1:15">
      <c r="A37" s="125" t="s">
        <v>34</v>
      </c>
      <c r="B37" s="225">
        <v>2</v>
      </c>
      <c r="C37" s="223">
        <v>0.4</v>
      </c>
      <c r="D37" s="228">
        <v>0.5</v>
      </c>
      <c r="E37" s="228">
        <v>0.4</v>
      </c>
      <c r="F37" s="228">
        <v>0.7</v>
      </c>
      <c r="G37" s="228">
        <f>+(4300+6200+1200+6700+12600)/100000</f>
        <v>0.31</v>
      </c>
      <c r="H37" s="223">
        <f>(9700+7100+17100+7400+5100)/100000</f>
        <v>0.464</v>
      </c>
      <c r="I37" s="223">
        <f>(15700+9100+13500+31000+18300+6700)/100000</f>
        <v>0.943</v>
      </c>
      <c r="J37" s="244">
        <f>(16500+19200+46705+11500+14500+7900+5200)/100000</f>
        <v>1.21505</v>
      </c>
      <c r="K37" s="223">
        <f>SUM(G37:J37)</f>
        <v>2.93205</v>
      </c>
      <c r="L37" s="223">
        <f>+((C37+D37+E37+F37)-(G37+H37+I37+J37))*-1</f>
        <v>0.93205</v>
      </c>
      <c r="M37" s="243">
        <f>+K37/B37</f>
        <v>1.466025</v>
      </c>
      <c r="N37" s="92"/>
      <c r="O37" s="245"/>
    </row>
    <row r="38" spans="1:15">
      <c r="A38" s="184" t="s">
        <v>38</v>
      </c>
      <c r="B38" s="225">
        <v>10.5</v>
      </c>
      <c r="C38" s="223">
        <v>1.6</v>
      </c>
      <c r="D38" s="194">
        <v>2.2</v>
      </c>
      <c r="E38" s="194">
        <v>3.1</v>
      </c>
      <c r="F38" s="194">
        <v>3.6</v>
      </c>
      <c r="G38" s="194">
        <f>(19800+7200+30800+6740+35900+47300)/100000</f>
        <v>1.4774</v>
      </c>
      <c r="H38" s="223">
        <f>(15910+4800+126935+69800+10000)/100000</f>
        <v>2.27445</v>
      </c>
      <c r="I38" s="223">
        <f>(9210+8650+43680+29020+89630+26950+6600)/100000</f>
        <v>2.1374</v>
      </c>
      <c r="J38" s="244">
        <f>(98800+39745+125100+17380+42145+36360+2910)/100000</f>
        <v>3.6244</v>
      </c>
      <c r="K38" s="223">
        <f>SUM(G38:J38)</f>
        <v>9.51365</v>
      </c>
      <c r="L38" s="223">
        <f>+((C38+D38+E38+F38)-(G38+H38+I38+J38))*-1</f>
        <v>-0.98635</v>
      </c>
      <c r="M38" s="243">
        <f>+K38/B38</f>
        <v>0.906061904761905</v>
      </c>
      <c r="N38" s="92"/>
      <c r="O38" s="245"/>
    </row>
    <row r="39" ht="14.25" customHeight="1" spans="1:15">
      <c r="A39" s="188" t="s">
        <v>44</v>
      </c>
      <c r="B39" s="225">
        <f>SUM(B26:B38)</f>
        <v>65.5</v>
      </c>
      <c r="C39" s="223">
        <f>SUM(C26:C38)</f>
        <v>11.75</v>
      </c>
      <c r="D39" s="229">
        <f t="shared" ref="D39:G39" si="10">SUM(D26:D38)</f>
        <v>16.4</v>
      </c>
      <c r="E39" s="229">
        <f>SUM(E26:E38)</f>
        <v>14.8</v>
      </c>
      <c r="F39" s="229">
        <f>SUM(F26:F38)</f>
        <v>22.55</v>
      </c>
      <c r="G39" s="230">
        <f>SUM(G26:G38)</f>
        <v>9.0332</v>
      </c>
      <c r="H39" s="223">
        <f>SUM(H25:H38)</f>
        <v>13.1126</v>
      </c>
      <c r="I39" s="223">
        <f t="shared" ref="I39:J39" si="11">SUM(I25:I38)</f>
        <v>12.6515</v>
      </c>
      <c r="J39" s="244">
        <f>SUM(J25:J38)</f>
        <v>21.76425</v>
      </c>
      <c r="K39" s="223">
        <f>SUM(K26:K38)</f>
        <v>56.56155</v>
      </c>
      <c r="L39" s="223">
        <f>+((C39+D39+E39+F39)-(G39+H39+I39+J39))*-1</f>
        <v>-8.93844999999999</v>
      </c>
      <c r="M39" s="246">
        <f>+K39/B39</f>
        <v>0.863535114503817</v>
      </c>
      <c r="N39" s="92"/>
      <c r="O39" s="93"/>
    </row>
    <row r="40" ht="18" customHeight="1" spans="1:15">
      <c r="A40" s="231"/>
      <c r="B40" s="232"/>
      <c r="C40" s="233"/>
      <c r="D40" s="233"/>
      <c r="N40" s="94"/>
      <c r="O40" s="95"/>
    </row>
    <row r="41" spans="14:15">
      <c r="N41" s="92"/>
      <c r="O41" s="245"/>
    </row>
    <row r="42" spans="14:15">
      <c r="N42" s="92"/>
      <c r="O42" s="245"/>
    </row>
    <row r="43" spans="14:15">
      <c r="N43" s="92"/>
      <c r="O43" s="245"/>
    </row>
    <row r="44" spans="14:15">
      <c r="N44" s="92"/>
      <c r="O44" s="245"/>
    </row>
    <row r="45" spans="14:15">
      <c r="N45" s="92"/>
      <c r="O45" s="245"/>
    </row>
    <row r="46" spans="14:15">
      <c r="N46" s="92"/>
      <c r="O46" s="245"/>
    </row>
    <row r="47" spans="14:15">
      <c r="N47" s="92"/>
      <c r="O47" s="245"/>
    </row>
    <row r="48" spans="14:15">
      <c r="N48" s="92"/>
      <c r="O48" s="93"/>
    </row>
    <row r="49" spans="14:15">
      <c r="N49" s="92"/>
      <c r="O49" s="245"/>
    </row>
    <row r="50" spans="14:15">
      <c r="N50" s="94"/>
      <c r="O50" s="95"/>
    </row>
    <row r="51" spans="14:15">
      <c r="N51" s="92"/>
      <c r="O51" s="245"/>
    </row>
    <row r="52" spans="14:15">
      <c r="N52" s="92"/>
      <c r="O52" s="245"/>
    </row>
    <row r="53" spans="14:15">
      <c r="N53" s="92"/>
      <c r="O53" s="245"/>
    </row>
    <row r="54" spans="14:15">
      <c r="N54" s="92"/>
      <c r="O54" s="245"/>
    </row>
    <row r="55" spans="14:15">
      <c r="N55" s="92"/>
      <c r="O55" s="245"/>
    </row>
    <row r="56" spans="14:15">
      <c r="N56" s="92"/>
      <c r="O56" s="245"/>
    </row>
    <row r="57" spans="14:15">
      <c r="N57" s="92"/>
      <c r="O57" s="245"/>
    </row>
    <row r="58" spans="14:15">
      <c r="N58" s="94"/>
      <c r="O58" s="95"/>
    </row>
    <row r="59" spans="14:15">
      <c r="N59" s="92"/>
      <c r="O59" s="245"/>
    </row>
    <row r="60" spans="14:15">
      <c r="N60" s="92"/>
      <c r="O60" s="245"/>
    </row>
    <row r="61" spans="14:15">
      <c r="N61" s="92"/>
      <c r="O61" s="245"/>
    </row>
    <row r="62" spans="14:15">
      <c r="N62" s="92"/>
      <c r="O62" s="245"/>
    </row>
    <row r="63" spans="14:15">
      <c r="N63" s="92"/>
      <c r="O63" s="245"/>
    </row>
    <row r="64" spans="14:15">
      <c r="N64" s="92"/>
      <c r="O64" s="245"/>
    </row>
    <row r="65" spans="14:15">
      <c r="N65" s="92"/>
      <c r="O65" s="245"/>
    </row>
    <row r="66" spans="14:15">
      <c r="N66" s="92"/>
      <c r="O66" s="247"/>
    </row>
  </sheetData>
  <mergeCells count="6">
    <mergeCell ref="B1:M1"/>
    <mergeCell ref="D5:F5"/>
    <mergeCell ref="C6:F6"/>
    <mergeCell ref="G6:J6"/>
    <mergeCell ref="C23:F23"/>
    <mergeCell ref="G23:J23"/>
  </mergeCells>
  <pageMargins left="0.699305555555556" right="0.699305555555556" top="0.75" bottom="0.75" header="0.3" footer="0.3"/>
  <pageSetup paperSize="9" scale="75" orientation="landscape" verticalDpi="180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9"/>
  <sheetViews>
    <sheetView topLeftCell="A27" workbookViewId="0">
      <selection activeCell="A1" sqref="A1:M42"/>
    </sheetView>
  </sheetViews>
  <sheetFormatPr defaultColWidth="9" defaultRowHeight="15"/>
  <cols>
    <col min="1" max="1" width="18.8571428571429" style="1" customWidth="1"/>
    <col min="2" max="2" width="10.1428571428571" style="2" customWidth="1"/>
    <col min="3" max="3" width="9.42857142857143" style="1" customWidth="1"/>
    <col min="4" max="5" width="9.71428571428571" style="1" customWidth="1"/>
    <col min="6" max="6" width="10.2857142857143" style="1" customWidth="1"/>
    <col min="7" max="7" width="10.1428571428571" style="1" customWidth="1"/>
    <col min="8" max="8" width="10.2857142857143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spans="1:13">
      <c r="A1" s="125" t="s">
        <v>99</v>
      </c>
      <c r="B1" s="119" t="s">
        <v>100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spans="1:13">
      <c r="A2" s="6" t="s">
        <v>2</v>
      </c>
      <c r="B2" s="7">
        <f>+K24</f>
        <v>210</v>
      </c>
      <c r="C2" s="8"/>
      <c r="D2" s="8"/>
      <c r="E2" s="8"/>
      <c r="F2" s="8"/>
      <c r="G2" s="8"/>
      <c r="H2" s="8"/>
      <c r="I2" s="8"/>
      <c r="J2" s="8"/>
      <c r="K2" s="8"/>
      <c r="L2" s="8"/>
      <c r="M2" s="104"/>
    </row>
    <row r="3" spans="1:13">
      <c r="A3" s="6" t="s">
        <v>3</v>
      </c>
      <c r="B3" s="7">
        <f>+M24</f>
        <v>665</v>
      </c>
      <c r="C3" s="8"/>
      <c r="D3" s="8"/>
      <c r="E3" s="8"/>
      <c r="F3" s="8"/>
      <c r="G3" s="8"/>
      <c r="H3" s="8"/>
      <c r="I3" s="8"/>
      <c r="J3" s="8"/>
      <c r="K3" s="8"/>
      <c r="L3" s="8"/>
      <c r="M3" s="104"/>
    </row>
    <row r="4" spans="1:13">
      <c r="A4" s="6" t="s">
        <v>101</v>
      </c>
      <c r="B4" s="11"/>
      <c r="C4" s="12"/>
      <c r="D4" s="13" t="s">
        <v>5</v>
      </c>
      <c r="E4" s="12">
        <v>7</v>
      </c>
      <c r="F4" s="12"/>
      <c r="G4" s="14" t="s">
        <v>78</v>
      </c>
      <c r="H4" s="155"/>
      <c r="I4" s="12" t="s">
        <v>7</v>
      </c>
      <c r="J4" s="13">
        <f>+K42</f>
        <v>91.85381</v>
      </c>
      <c r="K4" s="12" t="s">
        <v>8</v>
      </c>
      <c r="L4" s="12" t="s">
        <v>102</v>
      </c>
      <c r="M4" s="106"/>
    </row>
    <row r="5" spans="1:13">
      <c r="A5" s="16" t="s">
        <v>10</v>
      </c>
      <c r="B5" s="17" t="s">
        <v>103</v>
      </c>
      <c r="C5" s="18" t="s">
        <v>104</v>
      </c>
      <c r="D5" s="19">
        <v>9446000</v>
      </c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5.5" spans="1:13">
      <c r="A7" s="25" t="s">
        <v>16</v>
      </c>
      <c r="B7" s="25" t="s">
        <v>17</v>
      </c>
      <c r="C7" s="25" t="s">
        <v>18</v>
      </c>
      <c r="D7" s="25" t="s">
        <v>73</v>
      </c>
      <c r="E7" s="25" t="s">
        <v>105</v>
      </c>
      <c r="F7" s="25" t="s">
        <v>106</v>
      </c>
      <c r="G7" s="25" t="s">
        <v>18</v>
      </c>
      <c r="H7" s="25" t="s">
        <v>73</v>
      </c>
      <c r="I7" s="25" t="s">
        <v>105</v>
      </c>
      <c r="J7" s="25" t="s">
        <v>107</v>
      </c>
      <c r="K7" s="25" t="s">
        <v>22</v>
      </c>
      <c r="L7" s="25" t="s">
        <v>23</v>
      </c>
      <c r="M7" s="25" t="s">
        <v>24</v>
      </c>
    </row>
    <row r="8" spans="1:13">
      <c r="A8" s="29" t="s">
        <v>25</v>
      </c>
      <c r="B8" s="34">
        <f>SUM(C8:F8)</f>
        <v>15</v>
      </c>
      <c r="C8" s="34">
        <v>5</v>
      </c>
      <c r="D8" s="34">
        <v>3</v>
      </c>
      <c r="E8" s="34">
        <v>5</v>
      </c>
      <c r="F8" s="34">
        <v>2</v>
      </c>
      <c r="G8" s="48"/>
      <c r="H8" s="48"/>
      <c r="I8" s="48">
        <v>3</v>
      </c>
      <c r="J8" s="48">
        <v>7</v>
      </c>
      <c r="K8" s="48">
        <f t="shared" ref="K8:K24" si="0">SUM(G8:J8)</f>
        <v>10</v>
      </c>
      <c r="L8" s="48">
        <f>+((C8+D8+E8+F8)-(G8+H8+I8+J8))*-1</f>
        <v>-5</v>
      </c>
      <c r="M8" s="48">
        <v>6</v>
      </c>
    </row>
    <row r="9" spans="1:13">
      <c r="A9" s="29" t="s">
        <v>26</v>
      </c>
      <c r="B9" s="34">
        <f t="shared" ref="B9:B23" si="1">SUM(C9:F9)</f>
        <v>15</v>
      </c>
      <c r="C9" s="34">
        <v>5</v>
      </c>
      <c r="D9" s="34">
        <v>5</v>
      </c>
      <c r="E9" s="34">
        <v>3</v>
      </c>
      <c r="F9" s="34">
        <v>2</v>
      </c>
      <c r="G9" s="48">
        <v>14</v>
      </c>
      <c r="H9" s="48"/>
      <c r="I9" s="48">
        <v>1</v>
      </c>
      <c r="J9" s="48"/>
      <c r="K9" s="48">
        <f>SUM(G9:J9)</f>
        <v>15</v>
      </c>
      <c r="L9" s="48">
        <f t="shared" ref="L9:L24" si="2">+((C9+D9+E9+F9)-(G9+H9+I9+J9))*-1</f>
        <v>0</v>
      </c>
      <c r="M9" s="48">
        <v>48</v>
      </c>
    </row>
    <row r="10" spans="1:13">
      <c r="A10" s="29" t="s">
        <v>27</v>
      </c>
      <c r="B10" s="34">
        <f>SUM(C10:F10)</f>
        <v>12</v>
      </c>
      <c r="C10" s="34">
        <v>2</v>
      </c>
      <c r="D10" s="34">
        <v>3</v>
      </c>
      <c r="E10" s="34">
        <v>4</v>
      </c>
      <c r="F10" s="34">
        <v>3</v>
      </c>
      <c r="G10" s="48">
        <v>1</v>
      </c>
      <c r="H10" s="48">
        <v>3</v>
      </c>
      <c r="I10" s="48"/>
      <c r="J10" s="48">
        <v>18</v>
      </c>
      <c r="K10" s="48">
        <f>SUM(G10:J10)</f>
        <v>22</v>
      </c>
      <c r="L10" s="48">
        <f>+((C10+D10+E10+F10)-(G10+H10+I10+J10))*-1</f>
        <v>10</v>
      </c>
      <c r="M10" s="48">
        <v>60</v>
      </c>
    </row>
    <row r="11" spans="1:13">
      <c r="A11" s="29" t="s">
        <v>28</v>
      </c>
      <c r="B11" s="34">
        <f>SUM(C11:F11)</f>
        <v>12</v>
      </c>
      <c r="C11" s="34">
        <v>3</v>
      </c>
      <c r="D11" s="34">
        <v>2</v>
      </c>
      <c r="E11" s="34">
        <v>4</v>
      </c>
      <c r="F11" s="34">
        <v>3</v>
      </c>
      <c r="G11" s="48"/>
      <c r="H11" s="48">
        <v>5.5</v>
      </c>
      <c r="I11" s="48"/>
      <c r="J11" s="48">
        <v>6.5</v>
      </c>
      <c r="K11" s="48">
        <f>SUM(G11:J11)</f>
        <v>12</v>
      </c>
      <c r="L11" s="48">
        <f>+((C11+D11+E11+F11)-(G11+H11+I11+J11))*-1</f>
        <v>0</v>
      </c>
      <c r="M11" s="48">
        <v>68</v>
      </c>
    </row>
    <row r="12" spans="1:13">
      <c r="A12" s="29" t="s">
        <v>29</v>
      </c>
      <c r="B12" s="34">
        <f>SUM(C12:F12)</f>
        <v>5</v>
      </c>
      <c r="C12" s="34">
        <v>1</v>
      </c>
      <c r="D12" s="34">
        <v>1</v>
      </c>
      <c r="E12" s="34">
        <v>1</v>
      </c>
      <c r="F12" s="34">
        <v>2</v>
      </c>
      <c r="G12" s="48"/>
      <c r="H12" s="48"/>
      <c r="I12" s="48"/>
      <c r="J12" s="48"/>
      <c r="K12" s="48">
        <f>SUM(G12:J12)</f>
        <v>0</v>
      </c>
      <c r="L12" s="48">
        <f>+((C12+D12+E12+F12)-(G12+H12+I12+J12))*-1</f>
        <v>-5</v>
      </c>
      <c r="M12" s="48"/>
    </row>
    <row r="13" spans="1:13">
      <c r="A13" s="29" t="s">
        <v>87</v>
      </c>
      <c r="B13" s="34">
        <f>SUM(C13:F13)</f>
        <v>10</v>
      </c>
      <c r="C13" s="34">
        <v>2</v>
      </c>
      <c r="D13" s="34">
        <v>2</v>
      </c>
      <c r="E13" s="34">
        <v>3</v>
      </c>
      <c r="F13" s="34">
        <v>3</v>
      </c>
      <c r="G13" s="48"/>
      <c r="H13" s="48">
        <v>3</v>
      </c>
      <c r="I13" s="48">
        <v>1</v>
      </c>
      <c r="J13" s="48">
        <v>6</v>
      </c>
      <c r="K13" s="48">
        <f>SUM(G13:J13)</f>
        <v>10</v>
      </c>
      <c r="L13" s="48">
        <f>+((C13+D13+E13+F13)-(G13+H13+I13+J13))*-1</f>
        <v>0</v>
      </c>
      <c r="M13" s="48">
        <v>14</v>
      </c>
    </row>
    <row r="14" spans="1:13">
      <c r="A14" s="51" t="s">
        <v>30</v>
      </c>
      <c r="B14" s="34">
        <f>SUM(C14:F14)</f>
        <v>16</v>
      </c>
      <c r="C14" s="34">
        <v>4</v>
      </c>
      <c r="D14" s="34">
        <v>4</v>
      </c>
      <c r="E14" s="34">
        <v>4</v>
      </c>
      <c r="F14" s="34">
        <v>4</v>
      </c>
      <c r="G14" s="48">
        <v>2</v>
      </c>
      <c r="H14" s="48">
        <v>12</v>
      </c>
      <c r="I14" s="48">
        <v>15</v>
      </c>
      <c r="J14" s="48">
        <v>2</v>
      </c>
      <c r="K14" s="48">
        <f>SUM(G14:J14)</f>
        <v>31</v>
      </c>
      <c r="L14" s="48">
        <f>+((C14+D14+E14+F14)-(G14+H14+I14+J14))*-1</f>
        <v>15</v>
      </c>
      <c r="M14" s="48">
        <v>34</v>
      </c>
    </row>
    <row r="15" spans="1:13">
      <c r="A15" s="51" t="s">
        <v>31</v>
      </c>
      <c r="B15" s="34">
        <f>SUM(C15:F15)</f>
        <v>10</v>
      </c>
      <c r="C15" s="34">
        <v>2</v>
      </c>
      <c r="D15" s="34">
        <v>2</v>
      </c>
      <c r="E15" s="34">
        <v>2</v>
      </c>
      <c r="F15" s="34">
        <v>4</v>
      </c>
      <c r="G15" s="48"/>
      <c r="H15" s="48"/>
      <c r="I15" s="48">
        <v>2</v>
      </c>
      <c r="J15" s="48">
        <v>8</v>
      </c>
      <c r="K15" s="48">
        <f>SUM(G15:J15)</f>
        <v>10</v>
      </c>
      <c r="L15" s="48">
        <f>+((C15+D15+E15+F15)-(G15+H15+I15+J15))*-1</f>
        <v>0</v>
      </c>
      <c r="M15" s="48">
        <v>8</v>
      </c>
    </row>
    <row r="16" spans="1:13">
      <c r="A16" s="51" t="s">
        <v>43</v>
      </c>
      <c r="B16" s="34">
        <f>SUM(C16:F16)</f>
        <v>10</v>
      </c>
      <c r="C16" s="34">
        <v>1</v>
      </c>
      <c r="D16" s="34">
        <v>2</v>
      </c>
      <c r="E16" s="34">
        <v>2</v>
      </c>
      <c r="F16" s="137">
        <v>5</v>
      </c>
      <c r="G16" s="48"/>
      <c r="H16" s="48"/>
      <c r="I16" s="138"/>
      <c r="J16" s="48">
        <v>10</v>
      </c>
      <c r="K16" s="48">
        <f>SUM(G16:J16)</f>
        <v>10</v>
      </c>
      <c r="L16" s="48">
        <f>+((C16+D16+E16+F16)-(G16+H16+I16+J16))*-1</f>
        <v>0</v>
      </c>
      <c r="M16" s="48">
        <v>75</v>
      </c>
    </row>
    <row r="17" spans="1:13">
      <c r="A17" s="51" t="s">
        <v>32</v>
      </c>
      <c r="B17" s="34">
        <f>SUM(C17:F17)</f>
        <v>10</v>
      </c>
      <c r="C17" s="34">
        <v>1</v>
      </c>
      <c r="D17" s="34">
        <v>2</v>
      </c>
      <c r="E17" s="34">
        <v>3</v>
      </c>
      <c r="F17" s="34">
        <v>4</v>
      </c>
      <c r="G17" s="48">
        <v>1</v>
      </c>
      <c r="H17" s="48"/>
      <c r="I17" s="48"/>
      <c r="J17" s="48">
        <v>6.5</v>
      </c>
      <c r="K17" s="48">
        <f>SUM(G17:J17)</f>
        <v>7.5</v>
      </c>
      <c r="L17" s="48">
        <f>+((C17+D17+E17+F17)-(G17+H17+I17+J17))*-1</f>
        <v>-2.5</v>
      </c>
      <c r="M17" s="48">
        <v>53</v>
      </c>
    </row>
    <row r="18" spans="1:13">
      <c r="A18" s="51" t="s">
        <v>98</v>
      </c>
      <c r="B18" s="34">
        <f>SUM(C18:F18)</f>
        <v>10</v>
      </c>
      <c r="C18" s="34">
        <v>1</v>
      </c>
      <c r="D18" s="34">
        <v>2</v>
      </c>
      <c r="E18" s="34">
        <v>3</v>
      </c>
      <c r="F18" s="34">
        <v>4</v>
      </c>
      <c r="G18" s="48"/>
      <c r="H18" s="48">
        <v>0.5</v>
      </c>
      <c r="I18" s="48"/>
      <c r="J18" s="48">
        <v>9.5</v>
      </c>
      <c r="K18" s="48">
        <f>SUM(G18:J18)</f>
        <v>10</v>
      </c>
      <c r="L18" s="48">
        <f>+((C18+D18+E18+F18)-(G18+H18+I18+J18))*-1</f>
        <v>0</v>
      </c>
      <c r="M18" s="48">
        <v>52</v>
      </c>
    </row>
    <row r="19" spans="1:13">
      <c r="A19" s="51" t="s">
        <v>88</v>
      </c>
      <c r="B19" s="34">
        <f>SUM(C19:F19)</f>
        <v>10</v>
      </c>
      <c r="C19" s="34">
        <v>2</v>
      </c>
      <c r="D19" s="34">
        <v>2</v>
      </c>
      <c r="E19" s="34">
        <v>2</v>
      </c>
      <c r="F19" s="34">
        <v>4</v>
      </c>
      <c r="G19" s="48">
        <v>3</v>
      </c>
      <c r="H19" s="48"/>
      <c r="I19" s="48">
        <v>1</v>
      </c>
      <c r="J19" s="48">
        <v>2.5</v>
      </c>
      <c r="K19" s="48">
        <f>SUM(G19:J19)</f>
        <v>6.5</v>
      </c>
      <c r="L19" s="48">
        <f>+((C19+D19+E19+F19)-(G19+H19+I19+J19))*-1</f>
        <v>-3.5</v>
      </c>
      <c r="M19" s="48">
        <v>47</v>
      </c>
    </row>
    <row r="20" spans="1:13">
      <c r="A20" s="53" t="s">
        <v>33</v>
      </c>
      <c r="B20" s="34">
        <f>SUM(C20:F20)</f>
        <v>10</v>
      </c>
      <c r="C20" s="34">
        <v>1</v>
      </c>
      <c r="D20" s="34">
        <v>2</v>
      </c>
      <c r="E20" s="34">
        <v>2</v>
      </c>
      <c r="F20" s="34">
        <v>5</v>
      </c>
      <c r="G20" s="35"/>
      <c r="H20" s="158"/>
      <c r="I20" s="35">
        <v>2.5</v>
      </c>
      <c r="J20" s="48">
        <v>12.5</v>
      </c>
      <c r="K20" s="35">
        <f>SUM(G20:J20)</f>
        <v>15</v>
      </c>
      <c r="L20" s="48">
        <f>+((C20+D20+E20+F20)-(G20+H20+I20+J20))*-1</f>
        <v>5</v>
      </c>
      <c r="M20" s="35">
        <v>117</v>
      </c>
    </row>
    <row r="21" spans="1:13">
      <c r="A21" s="53" t="s">
        <v>35</v>
      </c>
      <c r="B21" s="34">
        <f>SUM(C21:F21)</f>
        <v>15</v>
      </c>
      <c r="C21" s="34">
        <v>4</v>
      </c>
      <c r="D21" s="34">
        <v>3</v>
      </c>
      <c r="E21" s="34">
        <v>4</v>
      </c>
      <c r="F21" s="34">
        <v>4</v>
      </c>
      <c r="G21" s="35"/>
      <c r="H21" s="35"/>
      <c r="I21" s="35">
        <v>13</v>
      </c>
      <c r="J21" s="35"/>
      <c r="K21" s="35">
        <f>SUM(G21:J21)</f>
        <v>13</v>
      </c>
      <c r="L21" s="48">
        <f>+((C21+D21+E21+F21)-(G21+H21+I21+J21))*-1</f>
        <v>-2</v>
      </c>
      <c r="M21" s="35">
        <v>5</v>
      </c>
    </row>
    <row r="22" spans="1:13">
      <c r="A22" s="53" t="s">
        <v>37</v>
      </c>
      <c r="B22" s="34"/>
      <c r="C22" s="34"/>
      <c r="D22" s="34"/>
      <c r="E22" s="34"/>
      <c r="F22" s="34"/>
      <c r="G22" s="35"/>
      <c r="H22" s="35"/>
      <c r="I22" s="35"/>
      <c r="J22" s="35"/>
      <c r="K22" s="35">
        <f>SUM(G22:J22)</f>
        <v>0</v>
      </c>
      <c r="L22" s="48">
        <f>+((C22+D22+E22+F22)-(G22+H22+I22+J22))*-1</f>
        <v>0</v>
      </c>
      <c r="M22" s="35">
        <v>7</v>
      </c>
    </row>
    <row r="23" spans="1:13">
      <c r="A23" s="53" t="s">
        <v>38</v>
      </c>
      <c r="B23" s="34">
        <f>SUM(C23:F23)</f>
        <v>30</v>
      </c>
      <c r="C23" s="34">
        <v>5</v>
      </c>
      <c r="D23" s="34">
        <v>7</v>
      </c>
      <c r="E23" s="34">
        <v>8</v>
      </c>
      <c r="F23" s="34">
        <v>10</v>
      </c>
      <c r="G23" s="38">
        <v>1.5</v>
      </c>
      <c r="H23" s="35">
        <v>25</v>
      </c>
      <c r="I23" s="35">
        <v>6.5</v>
      </c>
      <c r="J23" s="35">
        <v>5</v>
      </c>
      <c r="K23" s="35">
        <f>SUM(G23:J23)</f>
        <v>38</v>
      </c>
      <c r="L23" s="48">
        <f>+((C23+D23+E23+F23)-(G23+H23+I23+J23))*-1</f>
        <v>8</v>
      </c>
      <c r="M23" s="35">
        <v>71</v>
      </c>
    </row>
    <row r="24" spans="1:13">
      <c r="A24" s="54" t="s">
        <v>39</v>
      </c>
      <c r="B24" s="147">
        <f>SUM(B8:B23)</f>
        <v>190</v>
      </c>
      <c r="C24" s="147">
        <f>SUM(C8:C23)</f>
        <v>39</v>
      </c>
      <c r="D24" s="147">
        <f t="shared" ref="D24:M24" si="3">SUM(D8:D23)</f>
        <v>42</v>
      </c>
      <c r="E24" s="147">
        <f>SUM(E8:E23)</f>
        <v>50</v>
      </c>
      <c r="F24" s="147">
        <f>SUM(F8:F23)</f>
        <v>59</v>
      </c>
      <c r="G24" s="147">
        <f>SUM(G8:G23)</f>
        <v>22.5</v>
      </c>
      <c r="H24" s="147">
        <f>SUM(H8:H23)</f>
        <v>49</v>
      </c>
      <c r="I24" s="147">
        <f>SUM(I8:I23)</f>
        <v>45</v>
      </c>
      <c r="J24" s="147">
        <f>SUM(J8:J23)</f>
        <v>93.5</v>
      </c>
      <c r="K24" s="108">
        <f>SUM(G24:J24)</f>
        <v>210</v>
      </c>
      <c r="L24" s="48">
        <f>+((C24+D24+E24+F24)-(G24+H24+I24+J24))*-1</f>
        <v>20</v>
      </c>
      <c r="M24" s="147">
        <f>SUM(M8:M23)</f>
        <v>665</v>
      </c>
    </row>
    <row r="25" spans="1:15">
      <c r="A25" s="148" t="s">
        <v>40</v>
      </c>
      <c r="B25" s="149"/>
      <c r="C25" s="23" t="s">
        <v>14</v>
      </c>
      <c r="D25" s="23"/>
      <c r="E25" s="23"/>
      <c r="F25" s="24"/>
      <c r="G25" s="11" t="s">
        <v>15</v>
      </c>
      <c r="H25" s="23"/>
      <c r="I25" s="23"/>
      <c r="J25" s="24"/>
      <c r="K25" s="63"/>
      <c r="L25" s="64"/>
      <c r="M25" s="107"/>
      <c r="N25" s="89"/>
      <c r="O25" s="90"/>
    </row>
    <row r="26" ht="25.5" spans="1:15">
      <c r="A26" s="25" t="s">
        <v>16</v>
      </c>
      <c r="B26" s="25" t="s">
        <v>17</v>
      </c>
      <c r="C26" s="25" t="s">
        <v>18</v>
      </c>
      <c r="D26" s="25" t="s">
        <v>73</v>
      </c>
      <c r="E26" s="25" t="s">
        <v>105</v>
      </c>
      <c r="F26" s="25" t="s">
        <v>75</v>
      </c>
      <c r="G26" s="25" t="s">
        <v>18</v>
      </c>
      <c r="H26" s="25" t="s">
        <v>73</v>
      </c>
      <c r="I26" s="25" t="s">
        <v>105</v>
      </c>
      <c r="J26" s="25" t="s">
        <v>107</v>
      </c>
      <c r="K26" s="25" t="s">
        <v>22</v>
      </c>
      <c r="L26" s="25" t="s">
        <v>41</v>
      </c>
      <c r="M26" s="25" t="s">
        <v>42</v>
      </c>
      <c r="N26" s="89"/>
      <c r="O26" s="90"/>
    </row>
    <row r="27" spans="1:15">
      <c r="A27" s="29" t="s">
        <v>25</v>
      </c>
      <c r="B27" s="48">
        <f>SUM(C27:F27)</f>
        <v>10.3</v>
      </c>
      <c r="C27" s="35">
        <v>2</v>
      </c>
      <c r="D27" s="34">
        <v>2.25</v>
      </c>
      <c r="E27" s="34">
        <v>2.55</v>
      </c>
      <c r="F27" s="34">
        <v>3.5</v>
      </c>
      <c r="G27" s="49">
        <f>(32600+24600+18700+15800+16800+51200)/100000</f>
        <v>1.597</v>
      </c>
      <c r="H27" s="50">
        <f>(24900+32300+20600+22600+29000+58600)/100000</f>
        <v>1.88</v>
      </c>
      <c r="I27" s="50">
        <f>(18500+23400+32300+57500+12400+37400+52710)/100000</f>
        <v>2.3421</v>
      </c>
      <c r="J27" s="50">
        <f>(22400+86020+23650+19500+22800+23400+53090)/100000</f>
        <v>2.5086</v>
      </c>
      <c r="K27" s="50">
        <f t="shared" ref="K27:K41" si="4">SUM(G27:J27)</f>
        <v>8.3277</v>
      </c>
      <c r="L27" s="50">
        <f>+((C27+D27+E27+F27)-(G27+H27+I27+J27))*-1</f>
        <v>-1.9723</v>
      </c>
      <c r="M27" s="91">
        <f>+K27/B27</f>
        <v>0.808514563106796</v>
      </c>
      <c r="N27" s="89"/>
      <c r="O27" s="90"/>
    </row>
    <row r="28" spans="1:15">
      <c r="A28" s="29" t="s">
        <v>26</v>
      </c>
      <c r="B28" s="48">
        <f t="shared" ref="B28:B41" si="5">SUM(C28:F28)</f>
        <v>11.3</v>
      </c>
      <c r="C28" s="35">
        <v>2</v>
      </c>
      <c r="D28" s="34">
        <v>3</v>
      </c>
      <c r="E28" s="34">
        <v>2.8</v>
      </c>
      <c r="F28" s="34">
        <v>3.5</v>
      </c>
      <c r="G28" s="129">
        <f>(32000+4100+13700+27100+37200+23300)/100000</f>
        <v>1.374</v>
      </c>
      <c r="H28" s="130">
        <f>(40600+137000+49000+31500+23200+60200)/100000</f>
        <v>3.415</v>
      </c>
      <c r="I28" s="50">
        <f>(29980+44760+13200+27000+49400+97300+13300)/100000</f>
        <v>2.7494</v>
      </c>
      <c r="J28" s="134">
        <f>(52300+33200+26400+82600+99500+8600)/100000</f>
        <v>3.026</v>
      </c>
      <c r="K28" s="50">
        <f>SUM(G28:J28)</f>
        <v>10.5644</v>
      </c>
      <c r="L28" s="50">
        <f t="shared" ref="L28:L42" si="6">+((C28+D28+E28+F28)-(G28+H28+I28+J28))*-1</f>
        <v>-0.735600000000002</v>
      </c>
      <c r="M28" s="91">
        <f>+K28/B28</f>
        <v>0.934902654867257</v>
      </c>
      <c r="N28" s="92"/>
      <c r="O28" s="93"/>
    </row>
    <row r="29" spans="1:15">
      <c r="A29" s="29" t="s">
        <v>27</v>
      </c>
      <c r="B29" s="48">
        <f>SUM(C29:F29)</f>
        <v>7.5</v>
      </c>
      <c r="C29" s="34">
        <v>1.25</v>
      </c>
      <c r="D29" s="34">
        <v>2</v>
      </c>
      <c r="E29" s="34">
        <v>1.5</v>
      </c>
      <c r="F29" s="34">
        <v>2.75</v>
      </c>
      <c r="G29" s="129">
        <f>(15600+14600+17000+16500+25100+29700)/100000</f>
        <v>1.185</v>
      </c>
      <c r="H29" s="50">
        <f>(48700+8800+28600+14600+27700+48500)/100000</f>
        <v>1.769</v>
      </c>
      <c r="I29" s="50">
        <f>(13100+13100+26700+18900+41400)/100000</f>
        <v>1.132</v>
      </c>
      <c r="J29" s="134">
        <f>(168400+50400+8400+7500+20800+85300+7500)/100000</f>
        <v>3.483</v>
      </c>
      <c r="K29" s="50">
        <f>SUM(G29:J29)</f>
        <v>7.569</v>
      </c>
      <c r="L29" s="50">
        <f>+((C29+D29+E29+F29)-(G29+H29+I29+J29))*-1</f>
        <v>0.0689999999999991</v>
      </c>
      <c r="M29" s="91">
        <f t="shared" ref="M29:M42" si="7">+K29/B29</f>
        <v>1.0092</v>
      </c>
      <c r="N29" s="92"/>
      <c r="O29" s="93"/>
    </row>
    <row r="30" spans="1:15">
      <c r="A30" s="29" t="s">
        <v>28</v>
      </c>
      <c r="B30" s="48">
        <f>SUM(C30:F30)</f>
        <v>7.5</v>
      </c>
      <c r="C30" s="34">
        <v>1.5</v>
      </c>
      <c r="D30" s="34">
        <v>2</v>
      </c>
      <c r="E30" s="34">
        <v>1.5</v>
      </c>
      <c r="F30" s="34">
        <v>2.5</v>
      </c>
      <c r="G30" s="129">
        <f>(16300+17000+24200+34080+7700+24700)/100000</f>
        <v>1.2398</v>
      </c>
      <c r="H30" s="140">
        <f>(23500+21550+12300+21900+7600+18900)/100000</f>
        <v>1.0575</v>
      </c>
      <c r="I30" s="50">
        <f>(25900+18880+12280+11000+23700+10100+12100)/100000</f>
        <v>1.1396</v>
      </c>
      <c r="J30" s="134">
        <f>(30900+39600+54900+29700+21900+68400+22400)/100000</f>
        <v>2.678</v>
      </c>
      <c r="K30" s="50">
        <f>SUM(G30:J30)</f>
        <v>6.1149</v>
      </c>
      <c r="L30" s="50">
        <f>+((C30+D30+E30+F30)-(G30+H30+I30+J30))*-1</f>
        <v>-1.3851</v>
      </c>
      <c r="M30" s="91">
        <f>+K30/B30</f>
        <v>0.81532</v>
      </c>
      <c r="N30" s="92"/>
      <c r="O30" s="93"/>
    </row>
    <row r="31" spans="1:15">
      <c r="A31" s="29" t="s">
        <v>29</v>
      </c>
      <c r="B31" s="48">
        <f>SUM(C31:F31)</f>
        <v>2.4</v>
      </c>
      <c r="C31" s="34">
        <v>0.35</v>
      </c>
      <c r="D31" s="34">
        <v>0.8</v>
      </c>
      <c r="E31" s="34">
        <v>0.5</v>
      </c>
      <c r="F31" s="34">
        <v>0.75</v>
      </c>
      <c r="G31" s="129">
        <f>(50700)/100000</f>
        <v>0.507</v>
      </c>
      <c r="H31" s="50">
        <f>(8800+16400+19200)/100000</f>
        <v>0.444</v>
      </c>
      <c r="I31" s="50">
        <f>(28200+14200)/100000</f>
        <v>0.424</v>
      </c>
      <c r="J31" s="134">
        <f>(14000+40000+22000)/100000</f>
        <v>0.76</v>
      </c>
      <c r="K31" s="50">
        <f>SUM(G31:J31)</f>
        <v>2.135</v>
      </c>
      <c r="L31" s="50">
        <f>+((C31+D31+E31+F31)-(G31+H31+I31+J31))*-1</f>
        <v>-0.265</v>
      </c>
      <c r="M31" s="91">
        <f>+K31/B31</f>
        <v>0.889583333333333</v>
      </c>
      <c r="N31" s="92"/>
      <c r="O31" s="93"/>
    </row>
    <row r="32" spans="1:15">
      <c r="A32" s="29" t="s">
        <v>87</v>
      </c>
      <c r="B32" s="48">
        <f>SUM(C32:F32)</f>
        <v>1.5</v>
      </c>
      <c r="C32" s="34">
        <v>0.25</v>
      </c>
      <c r="D32" s="34">
        <v>0.5</v>
      </c>
      <c r="E32" s="34">
        <v>0.35</v>
      </c>
      <c r="F32" s="34">
        <v>0.4</v>
      </c>
      <c r="G32" s="129">
        <f>(13500+11750)/100000</f>
        <v>0.2525</v>
      </c>
      <c r="H32" s="50">
        <f>(4500+19400+23250+2500)/100000</f>
        <v>0.4965</v>
      </c>
      <c r="I32" s="50">
        <f>(7400+10150+10200+32600+11100)/100000</f>
        <v>0.7145</v>
      </c>
      <c r="J32" s="134">
        <f>(3700+6000+10800+2400+9800+4250+1800)/100000</f>
        <v>0.3875</v>
      </c>
      <c r="K32" s="50">
        <f>SUM(G32:J32)</f>
        <v>1.851</v>
      </c>
      <c r="L32" s="50">
        <f>+((C32+D32+E32+F32)-(G32+H32+I32+J32))*-1</f>
        <v>0.351</v>
      </c>
      <c r="M32" s="91">
        <f>+K32/B32</f>
        <v>1.234</v>
      </c>
      <c r="N32" s="92"/>
      <c r="O32" s="93"/>
    </row>
    <row r="33" spans="1:15">
      <c r="A33" s="51" t="s">
        <v>30</v>
      </c>
      <c r="B33" s="48">
        <f>SUM(C33:F33)</f>
        <v>8</v>
      </c>
      <c r="C33" s="35">
        <v>1.8</v>
      </c>
      <c r="D33" s="52">
        <v>1.75</v>
      </c>
      <c r="E33" s="52">
        <v>1.75</v>
      </c>
      <c r="F33" s="52">
        <v>2.7</v>
      </c>
      <c r="G33" s="129">
        <f>(5000+9400+5000+48700+115000+5000)/100000</f>
        <v>1.881</v>
      </c>
      <c r="H33" s="50">
        <f>(32600+5000+5000+29600+104000)/100000</f>
        <v>1.762</v>
      </c>
      <c r="I33" s="50">
        <f>(62000+5000+67100+2500+71780+21900)/100000</f>
        <v>2.3028</v>
      </c>
      <c r="J33" s="134">
        <f>(6900+86100+2500+2000+15800+17800)/100000</f>
        <v>1.311</v>
      </c>
      <c r="K33" s="50">
        <f>SUM(G33:J33)</f>
        <v>7.2568</v>
      </c>
      <c r="L33" s="50">
        <f>+((C33+D33+E33+F33)-(G33+H33+I33+J33))*-1</f>
        <v>-0.7432</v>
      </c>
      <c r="M33" s="91">
        <f>+K33/B33</f>
        <v>0.9071</v>
      </c>
      <c r="N33" s="94"/>
      <c r="O33" s="95"/>
    </row>
    <row r="34" spans="1:15">
      <c r="A34" s="51" t="s">
        <v>31</v>
      </c>
      <c r="B34" s="48">
        <f>SUM(C34:F34)</f>
        <v>5.25</v>
      </c>
      <c r="C34" s="35">
        <v>1</v>
      </c>
      <c r="D34" s="52">
        <v>1.25</v>
      </c>
      <c r="E34" s="52">
        <v>1.25</v>
      </c>
      <c r="F34" s="52">
        <v>1.75</v>
      </c>
      <c r="G34" s="129">
        <f>(17400+16900+12100+11900+23400+12100)/100000</f>
        <v>0.938</v>
      </c>
      <c r="H34" s="50">
        <f>(18100+26000+27500+9700+11700+18300)/100000</f>
        <v>1.113</v>
      </c>
      <c r="I34" s="50">
        <f>(8600+10300+3400+17400+23300+19700+12900)/100000</f>
        <v>0.956</v>
      </c>
      <c r="J34" s="134">
        <f>(19200+17800+8400+11500+14200+43400+9300)/100000</f>
        <v>1.238</v>
      </c>
      <c r="K34" s="50">
        <f>SUM(G34:J34)</f>
        <v>4.245</v>
      </c>
      <c r="L34" s="50">
        <f>+((C34+D34+E34+F34)-(G34+H34+I34+J34))*-1</f>
        <v>-1.005</v>
      </c>
      <c r="M34" s="91">
        <f>+K34/B34</f>
        <v>0.808571428571429</v>
      </c>
      <c r="N34" s="92"/>
      <c r="O34" s="93"/>
    </row>
    <row r="35" spans="1:15">
      <c r="A35" s="51" t="s">
        <v>32</v>
      </c>
      <c r="B35" s="48">
        <f>SUM(C35:F35)</f>
        <v>7.25</v>
      </c>
      <c r="C35" s="35">
        <v>1.5</v>
      </c>
      <c r="D35" s="52">
        <v>1.9</v>
      </c>
      <c r="E35" s="52">
        <v>1.5</v>
      </c>
      <c r="F35" s="52">
        <v>2.35</v>
      </c>
      <c r="G35" s="129">
        <f>(21500+17500+21700+44090+16950+15300)/100000</f>
        <v>1.3704</v>
      </c>
      <c r="H35" s="50">
        <f>(21655+22645+42800+63750+30100+16600)/100000</f>
        <v>1.9755</v>
      </c>
      <c r="I35" s="50">
        <f>(15200+16900+8000+13500+15400+9200+20500)/100000</f>
        <v>0.987</v>
      </c>
      <c r="J35" s="134">
        <f>(26000+87500+21900+17900+13800+35260+13700)/100000</f>
        <v>2.1606</v>
      </c>
      <c r="K35" s="50">
        <f>SUM(G35:J35)</f>
        <v>6.4935</v>
      </c>
      <c r="L35" s="50">
        <f>+((C35+D35+E35+F35)-(G35+H35+I35+J35))*-1</f>
        <v>-0.756499999999999</v>
      </c>
      <c r="M35" s="91">
        <f>+K35/B35</f>
        <v>0.895655172413793</v>
      </c>
      <c r="N35" s="92"/>
      <c r="O35" s="93"/>
    </row>
    <row r="36" spans="1:15">
      <c r="A36" s="51" t="s">
        <v>98</v>
      </c>
      <c r="B36" s="48">
        <f>SUM(C36:F36)</f>
        <v>5.5</v>
      </c>
      <c r="C36" s="35">
        <v>1.3</v>
      </c>
      <c r="D36" s="52">
        <v>1.3</v>
      </c>
      <c r="E36" s="52">
        <v>1.4</v>
      </c>
      <c r="F36" s="52">
        <v>1.5</v>
      </c>
      <c r="G36" s="129">
        <f>(5800+22000+26700+9200+14250+74000)/100000</f>
        <v>1.5195</v>
      </c>
      <c r="H36" s="50">
        <f>(13650+21400+14100+15700+11650+32350)/100000</f>
        <v>1.0885</v>
      </c>
      <c r="I36" s="50">
        <f>(22400+22150+21100+17300+12700+17600+13500)/100000</f>
        <v>1.2675</v>
      </c>
      <c r="J36" s="134">
        <f>(27200+22000+8300+19000+15400+24200+12600)/100000</f>
        <v>1.287</v>
      </c>
      <c r="K36" s="50">
        <f>SUM(G36:J36)</f>
        <v>5.1625</v>
      </c>
      <c r="L36" s="50">
        <f>+((C36+D36+E36+F36)-(G36+H36+I36+J36))*-1</f>
        <v>-0.3375</v>
      </c>
      <c r="M36" s="91">
        <f>+K36/B36</f>
        <v>0.938636363636364</v>
      </c>
      <c r="N36" s="92"/>
      <c r="O36" s="93"/>
    </row>
    <row r="37" spans="1:15">
      <c r="A37" s="51" t="s">
        <v>43</v>
      </c>
      <c r="B37" s="48">
        <f>SUM(C37:F37)</f>
        <v>7.5</v>
      </c>
      <c r="C37" s="35">
        <v>1.5</v>
      </c>
      <c r="D37" s="52">
        <v>1.8</v>
      </c>
      <c r="E37" s="52">
        <v>1.7</v>
      </c>
      <c r="F37" s="52">
        <v>2.5</v>
      </c>
      <c r="G37" s="129">
        <f>(15250+13800+21590+26400+17350+30200)/100000</f>
        <v>1.2459</v>
      </c>
      <c r="H37" s="50">
        <f>(18100+20900+53500+57140+11600+8700)/100000</f>
        <v>1.6994</v>
      </c>
      <c r="I37" s="50">
        <f>(87750+109450+6310+17900+9500+8150+63400)/100000</f>
        <v>3.0246</v>
      </c>
      <c r="J37" s="134">
        <f>(19400+41360+18800+10805+20800+13500+23010)/100000</f>
        <v>1.47675</v>
      </c>
      <c r="K37" s="50">
        <f>SUM(G37:J37)</f>
        <v>7.44665</v>
      </c>
      <c r="L37" s="50">
        <f>+((C37+D37+E37+F37)-(G37+H37+I37+J37))*-1</f>
        <v>-0.05335</v>
      </c>
      <c r="M37" s="91">
        <f>+K37/B37</f>
        <v>0.992886666666667</v>
      </c>
      <c r="N37" s="92"/>
      <c r="O37" s="93"/>
    </row>
    <row r="38" spans="1:15">
      <c r="A38" s="51" t="s">
        <v>88</v>
      </c>
      <c r="B38" s="48">
        <f ca="1">SUM(C38:D38:E38:F38)</f>
        <v>3.5</v>
      </c>
      <c r="C38" s="35">
        <v>0.75</v>
      </c>
      <c r="D38" s="52">
        <v>0.75</v>
      </c>
      <c r="E38" s="52">
        <v>1</v>
      </c>
      <c r="F38" s="52">
        <v>1</v>
      </c>
      <c r="G38" s="129">
        <f>(12100+10200+12300+14700+11045+13400)/100000</f>
        <v>0.73745</v>
      </c>
      <c r="H38" s="50">
        <f>(25200+6500+18600+15400+13900+15300)/100000</f>
        <v>0.949</v>
      </c>
      <c r="I38" s="50">
        <f>(13100+37900+5900+18701+16250+14900+26100)/100000</f>
        <v>1.32851</v>
      </c>
      <c r="J38" s="134">
        <f>(17000+21800+11450+11500+36050+18600+25900)/100000</f>
        <v>1.423</v>
      </c>
      <c r="K38" s="50">
        <f>SUM(G38:J38)</f>
        <v>4.43796</v>
      </c>
      <c r="L38" s="50">
        <f>+((C38+D38+E38+F38)-(G38+H38+I38+J38))*-1</f>
        <v>0.93796</v>
      </c>
      <c r="M38" s="91">
        <f ca="1">+K38/B38</f>
        <v>1.26798857142857</v>
      </c>
      <c r="N38" s="92"/>
      <c r="O38" s="93"/>
    </row>
    <row r="39" spans="1:15">
      <c r="A39" s="53" t="s">
        <v>37</v>
      </c>
      <c r="B39" s="48">
        <f>SUM(C39:F39)</f>
        <v>1.05</v>
      </c>
      <c r="C39" s="35">
        <v>0.3</v>
      </c>
      <c r="D39" s="52">
        <v>0.25</v>
      </c>
      <c r="E39" s="52">
        <v>0.25</v>
      </c>
      <c r="F39" s="52">
        <v>0.25</v>
      </c>
      <c r="G39" s="129">
        <f>(8800+22000+4400+8800)/100000</f>
        <v>0.44</v>
      </c>
      <c r="H39" s="50"/>
      <c r="I39" s="50"/>
      <c r="J39" s="134">
        <f>(8800+22000)/100000</f>
        <v>0.308</v>
      </c>
      <c r="K39" s="50">
        <f>SUM(G39:J39)</f>
        <v>0.748</v>
      </c>
      <c r="L39" s="50">
        <f>+((C39+D39+E39+F39)-(G39+H39+I39+J39))*-1</f>
        <v>-0.302</v>
      </c>
      <c r="M39" s="91">
        <f>+K39/B39</f>
        <v>0.712380952380952</v>
      </c>
      <c r="N39" s="92"/>
      <c r="O39" s="93"/>
    </row>
    <row r="40" spans="1:15">
      <c r="A40" s="53" t="s">
        <v>35</v>
      </c>
      <c r="B40" s="48">
        <f>SUM(C40:F40)</f>
        <v>4</v>
      </c>
      <c r="C40" s="35">
        <v>0.75</v>
      </c>
      <c r="D40" s="52">
        <v>0.75</v>
      </c>
      <c r="E40" s="52">
        <v>1.25</v>
      </c>
      <c r="F40" s="52">
        <v>1.25</v>
      </c>
      <c r="G40" s="129">
        <f>(30800)/100000</f>
        <v>0.308</v>
      </c>
      <c r="H40" s="50">
        <f>(51600+15400+4400)/100000</f>
        <v>0.714</v>
      </c>
      <c r="I40" s="50">
        <f>(95380+17725)/100000</f>
        <v>1.13105</v>
      </c>
      <c r="J40" s="134">
        <f>(58820+143455)/100000</f>
        <v>2.02275</v>
      </c>
      <c r="K40" s="50">
        <f>SUM(G40:J40)</f>
        <v>4.1758</v>
      </c>
      <c r="L40" s="50">
        <f>+((C40+D40+E40+F40)-(G40+H40+I40+J40))*-1</f>
        <v>0.175800000000001</v>
      </c>
      <c r="M40" s="91">
        <f>+K40/B40</f>
        <v>1.04395</v>
      </c>
      <c r="N40" s="92"/>
      <c r="O40" s="93"/>
    </row>
    <row r="41" spans="1:15">
      <c r="A41" s="53" t="s">
        <v>38</v>
      </c>
      <c r="B41" s="48">
        <f>SUM(C41:F41)</f>
        <v>15</v>
      </c>
      <c r="C41" s="35">
        <v>2.5</v>
      </c>
      <c r="D41" s="52">
        <v>3</v>
      </c>
      <c r="E41" s="52">
        <v>4</v>
      </c>
      <c r="F41" s="52">
        <v>5.5</v>
      </c>
      <c r="G41" s="129">
        <f>(56160+7200+36880+27910+4600+43800)/100000</f>
        <v>1.7655</v>
      </c>
      <c r="H41" s="50">
        <f>(109600+48200+87000+121000+14597+76700)/100000</f>
        <v>4.57097</v>
      </c>
      <c r="I41" s="50">
        <f>(93748+34995+18500+51620+113300+67800+45600)/100000</f>
        <v>4.25563</v>
      </c>
      <c r="J41" s="134">
        <f>(61200+158400+23000+200+24218+164982+41350)/100000</f>
        <v>4.7335</v>
      </c>
      <c r="K41" s="50">
        <f>SUM(G41:J41)</f>
        <v>15.3256</v>
      </c>
      <c r="L41" s="50">
        <f>+((C41+D41+E41+F41)-(G41+H41+I41+J41))*-1</f>
        <v>0.325600000000001</v>
      </c>
      <c r="M41" s="91">
        <f>+K41/B41</f>
        <v>1.02170666666667</v>
      </c>
      <c r="N41" s="92"/>
      <c r="O41" s="93"/>
    </row>
    <row r="42" spans="1:15">
      <c r="A42" s="54" t="s">
        <v>44</v>
      </c>
      <c r="B42" s="48">
        <f ca="1" t="shared" ref="B42:K42" si="8">SUM(B27:B41)</f>
        <v>97.55</v>
      </c>
      <c r="C42" s="35">
        <f>SUM(C27:C41)</f>
        <v>18.75</v>
      </c>
      <c r="D42" s="48">
        <f>SUM(D27:D41)</f>
        <v>23.3</v>
      </c>
      <c r="E42" s="48">
        <f>SUM(E27:E41)</f>
        <v>23.3</v>
      </c>
      <c r="F42" s="48">
        <f>SUM(F27:F41)</f>
        <v>32.2</v>
      </c>
      <c r="G42" s="131">
        <f>SUM(G27:G41)</f>
        <v>16.36105</v>
      </c>
      <c r="H42" s="50">
        <f>SUM(H27:H41)</f>
        <v>22.93437</v>
      </c>
      <c r="I42" s="50">
        <f>SUM(I27:I41)</f>
        <v>23.75469</v>
      </c>
      <c r="J42" s="134">
        <f>SUM(J27:J41)</f>
        <v>28.8037</v>
      </c>
      <c r="K42" s="135">
        <f>SUM(K27:K41)</f>
        <v>91.85381</v>
      </c>
      <c r="L42" s="50">
        <f>+((C42+D42+E42+F42)-(G42+H42+I42+J42))*-1</f>
        <v>-5.69619</v>
      </c>
      <c r="M42" s="154">
        <f ca="1">+K42/B42</f>
        <v>0.941607483341876</v>
      </c>
      <c r="N42" s="92"/>
      <c r="O42" s="93"/>
    </row>
    <row r="43" spans="1:15">
      <c r="A43" s="55"/>
      <c r="B43" s="56"/>
      <c r="C43" s="57"/>
      <c r="N43" s="94"/>
      <c r="O43" s="95"/>
    </row>
    <row r="44" spans="14:15">
      <c r="N44" s="92"/>
      <c r="O44" s="93"/>
    </row>
    <row r="45" spans="14:15">
      <c r="N45" s="92"/>
      <c r="O45" s="93"/>
    </row>
    <row r="46" spans="14:15">
      <c r="N46" s="92"/>
      <c r="O46" s="93"/>
    </row>
    <row r="47" spans="14:15">
      <c r="N47" s="92"/>
      <c r="O47" s="93"/>
    </row>
    <row r="48" spans="14:15">
      <c r="N48" s="92"/>
      <c r="O48" s="93"/>
    </row>
    <row r="49" spans="14:15">
      <c r="N49" s="92"/>
      <c r="O49" s="93"/>
    </row>
    <row r="50" spans="14:15">
      <c r="N50" s="92"/>
      <c r="O50" s="93"/>
    </row>
    <row r="51" spans="14:15">
      <c r="N51" s="92"/>
      <c r="O51" s="93"/>
    </row>
    <row r="52" spans="14:15">
      <c r="N52" s="92"/>
      <c r="O52" s="93"/>
    </row>
    <row r="53" spans="14:15">
      <c r="N53" s="94"/>
      <c r="O53" s="95"/>
    </row>
    <row r="54" spans="14:15">
      <c r="N54" s="92"/>
      <c r="O54" s="93"/>
    </row>
    <row r="55" spans="14:15">
      <c r="N55" s="92"/>
      <c r="O55" s="93"/>
    </row>
    <row r="56" spans="14:15">
      <c r="N56" s="92"/>
      <c r="O56" s="93"/>
    </row>
    <row r="57" spans="14:15">
      <c r="N57" s="92"/>
      <c r="O57" s="93"/>
    </row>
    <row r="58" spans="14:15">
      <c r="N58" s="92"/>
      <c r="O58" s="93"/>
    </row>
    <row r="59" spans="14:15">
      <c r="N59" s="92"/>
      <c r="O59" s="93"/>
    </row>
    <row r="60" spans="14:15">
      <c r="N60" s="92"/>
      <c r="O60" s="93"/>
    </row>
    <row r="61" spans="14:15">
      <c r="N61" s="94"/>
      <c r="O61" s="95"/>
    </row>
    <row r="62" spans="14:15">
      <c r="N62" s="92"/>
      <c r="O62" s="93"/>
    </row>
    <row r="63" spans="14:15">
      <c r="N63" s="92"/>
      <c r="O63" s="93"/>
    </row>
    <row r="64" spans="14:15">
      <c r="N64" s="92"/>
      <c r="O64" s="93"/>
    </row>
    <row r="65" spans="14:15">
      <c r="N65" s="92"/>
      <c r="O65" s="93"/>
    </row>
    <row r="66" spans="14:15">
      <c r="N66" s="92"/>
      <c r="O66" s="93"/>
    </row>
    <row r="67" spans="14:15">
      <c r="N67" s="92"/>
      <c r="O67" s="93"/>
    </row>
    <row r="68" spans="14:15">
      <c r="N68" s="92"/>
      <c r="O68" s="93"/>
    </row>
    <row r="69" spans="14:15">
      <c r="N69" s="92"/>
      <c r="O69" s="96"/>
    </row>
  </sheetData>
  <mergeCells count="6">
    <mergeCell ref="B1:M1"/>
    <mergeCell ref="D5:F5"/>
    <mergeCell ref="C6:F6"/>
    <mergeCell ref="G6:J6"/>
    <mergeCell ref="C25:F25"/>
    <mergeCell ref="G25:J25"/>
  </mergeCells>
  <pageMargins left="0.708333333333333" right="0.708333333333333" top="0.747916666666667" bottom="0.747916666666667" header="0.314583333333333" footer="0.314583333333333"/>
  <pageSetup paperSize="9" scale="75" orientation="landscape" verticalDpi="18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69"/>
  <sheetViews>
    <sheetView topLeftCell="A29" workbookViewId="0">
      <selection activeCell="A1" sqref="A1:M42"/>
    </sheetView>
  </sheetViews>
  <sheetFormatPr defaultColWidth="9" defaultRowHeight="15"/>
  <cols>
    <col min="1" max="1" width="18.8571428571429" style="1" customWidth="1"/>
    <col min="2" max="2" width="10.1428571428571" style="2" customWidth="1"/>
    <col min="3" max="3" width="9.42857142857143" style="1" customWidth="1"/>
    <col min="4" max="5" width="9.71428571428571" style="1" customWidth="1"/>
    <col min="6" max="6" width="10.2857142857143" style="1" customWidth="1"/>
    <col min="7" max="7" width="10.1428571428571" style="1" customWidth="1"/>
    <col min="8" max="8" width="10.2857142857143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spans="1:13">
      <c r="A1" s="125" t="s">
        <v>108</v>
      </c>
      <c r="B1" s="119" t="s">
        <v>109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spans="1:13">
      <c r="A2" s="6" t="s">
        <v>2</v>
      </c>
      <c r="B2" s="7">
        <f>+K24</f>
        <v>185.5</v>
      </c>
      <c r="C2" s="8"/>
      <c r="D2" s="8"/>
      <c r="E2" s="8"/>
      <c r="F2" s="8"/>
      <c r="G2" s="8"/>
      <c r="H2" s="8"/>
      <c r="I2" s="8"/>
      <c r="J2" s="8"/>
      <c r="K2" s="8"/>
      <c r="L2" s="8"/>
      <c r="M2" s="104"/>
    </row>
    <row r="3" spans="1:13">
      <c r="A3" s="6" t="s">
        <v>3</v>
      </c>
      <c r="B3" s="7">
        <f>+M24</f>
        <v>390</v>
      </c>
      <c r="C3" s="8"/>
      <c r="D3" s="8"/>
      <c r="E3" s="8"/>
      <c r="F3" s="8"/>
      <c r="G3" s="8"/>
      <c r="H3" s="8"/>
      <c r="I3" s="8"/>
      <c r="J3" s="8"/>
      <c r="K3" s="8"/>
      <c r="L3" s="8"/>
      <c r="M3" s="104"/>
    </row>
    <row r="4" spans="1:13">
      <c r="A4" s="6" t="s">
        <v>110</v>
      </c>
      <c r="B4" s="11"/>
      <c r="C4" s="12"/>
      <c r="D4" s="13" t="s">
        <v>5</v>
      </c>
      <c r="E4" s="12">
        <v>7.5</v>
      </c>
      <c r="F4" s="12"/>
      <c r="G4" s="14" t="s">
        <v>78</v>
      </c>
      <c r="H4" s="155"/>
      <c r="I4" s="12" t="s">
        <v>7</v>
      </c>
      <c r="J4" s="13">
        <f>+K42</f>
        <v>94.69217</v>
      </c>
      <c r="K4" s="12" t="s">
        <v>8</v>
      </c>
      <c r="L4" s="12" t="s">
        <v>111</v>
      </c>
      <c r="M4" s="106"/>
    </row>
    <row r="5" spans="1:13">
      <c r="A5" s="16" t="s">
        <v>10</v>
      </c>
      <c r="B5" s="17" t="s">
        <v>112</v>
      </c>
      <c r="C5" s="18" t="s">
        <v>113</v>
      </c>
      <c r="D5" s="19">
        <v>8609500</v>
      </c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5.5" spans="1:13">
      <c r="A7" s="25" t="s">
        <v>16</v>
      </c>
      <c r="B7" s="25" t="s">
        <v>17</v>
      </c>
      <c r="C7" s="25" t="s">
        <v>18</v>
      </c>
      <c r="D7" s="25" t="s">
        <v>73</v>
      </c>
      <c r="E7" s="25" t="s">
        <v>74</v>
      </c>
      <c r="F7" s="25" t="s">
        <v>114</v>
      </c>
      <c r="G7" s="25" t="s">
        <v>18</v>
      </c>
      <c r="H7" s="25" t="s">
        <v>73</v>
      </c>
      <c r="I7" s="25" t="s">
        <v>74</v>
      </c>
      <c r="J7" s="25" t="s">
        <v>115</v>
      </c>
      <c r="K7" s="25" t="s">
        <v>22</v>
      </c>
      <c r="L7" s="25" t="s">
        <v>23</v>
      </c>
      <c r="M7" s="25" t="s">
        <v>24</v>
      </c>
    </row>
    <row r="8" spans="1:13">
      <c r="A8" s="29" t="s">
        <v>25</v>
      </c>
      <c r="B8" s="34">
        <f>SUM(C8:F8)</f>
        <v>15</v>
      </c>
      <c r="C8" s="34">
        <v>5</v>
      </c>
      <c r="D8" s="34">
        <v>3</v>
      </c>
      <c r="E8" s="34">
        <v>5</v>
      </c>
      <c r="F8" s="34">
        <v>2</v>
      </c>
      <c r="G8" s="48"/>
      <c r="H8" s="48">
        <v>10</v>
      </c>
      <c r="I8" s="48">
        <v>6</v>
      </c>
      <c r="J8" s="48"/>
      <c r="K8" s="48">
        <f t="shared" ref="K8:K24" si="0">SUM(G8:J8)</f>
        <v>16</v>
      </c>
      <c r="L8" s="48">
        <f>+((C8+D8+E8+F8)-(G8+H8+I8+J8))*-1</f>
        <v>1</v>
      </c>
      <c r="M8" s="48">
        <v>39</v>
      </c>
    </row>
    <row r="9" spans="1:13">
      <c r="A9" s="29" t="s">
        <v>26</v>
      </c>
      <c r="B9" s="34">
        <f t="shared" ref="B9:B23" si="1">SUM(C9:F9)</f>
        <v>15</v>
      </c>
      <c r="C9" s="34">
        <v>5</v>
      </c>
      <c r="D9" s="34">
        <v>5</v>
      </c>
      <c r="E9" s="34">
        <v>3</v>
      </c>
      <c r="F9" s="34">
        <v>2</v>
      </c>
      <c r="G9" s="48">
        <v>15</v>
      </c>
      <c r="H9" s="48"/>
      <c r="I9" s="48"/>
      <c r="J9" s="48"/>
      <c r="K9" s="48">
        <f>SUM(G9:J9)</f>
        <v>15</v>
      </c>
      <c r="L9" s="48">
        <f t="shared" ref="L9:L24" si="2">+((C9+D9+E9+F9)-(G9+H9+I9+J9))*-1</f>
        <v>0</v>
      </c>
      <c r="M9" s="48">
        <v>30</v>
      </c>
    </row>
    <row r="10" spans="1:17">
      <c r="A10" s="29" t="s">
        <v>27</v>
      </c>
      <c r="B10" s="34">
        <f>SUM(C10:F10)</f>
        <v>12</v>
      </c>
      <c r="C10" s="34">
        <v>2</v>
      </c>
      <c r="D10" s="34">
        <v>3</v>
      </c>
      <c r="E10" s="34">
        <v>4</v>
      </c>
      <c r="F10" s="34">
        <v>3</v>
      </c>
      <c r="G10" s="48">
        <v>7</v>
      </c>
      <c r="H10" s="48"/>
      <c r="I10" s="48">
        <v>3</v>
      </c>
      <c r="J10" s="48">
        <v>2</v>
      </c>
      <c r="K10" s="48">
        <f>SUM(G10:J10)</f>
        <v>12</v>
      </c>
      <c r="L10" s="48">
        <f>+((C10+D10+E10+F10)-(G10+H10+I10+J10))*-1</f>
        <v>0</v>
      </c>
      <c r="M10" s="48">
        <v>58</v>
      </c>
      <c r="Q10"/>
    </row>
    <row r="11" spans="1:13">
      <c r="A11" s="29" t="s">
        <v>28</v>
      </c>
      <c r="B11" s="34">
        <f>SUM(C11:F11)</f>
        <v>12</v>
      </c>
      <c r="C11" s="34">
        <v>3</v>
      </c>
      <c r="D11" s="34">
        <v>2</v>
      </c>
      <c r="E11" s="34">
        <v>4</v>
      </c>
      <c r="F11" s="34">
        <v>3</v>
      </c>
      <c r="G11" s="48">
        <v>1.5</v>
      </c>
      <c r="H11" s="48"/>
      <c r="I11" s="48">
        <v>12</v>
      </c>
      <c r="J11" s="48"/>
      <c r="K11" s="48">
        <f>SUM(G11:J11)</f>
        <v>13.5</v>
      </c>
      <c r="L11" s="48">
        <f>+((C11+D11+E11+F11)-(G11+H11+I11+J11))*-1</f>
        <v>1.5</v>
      </c>
      <c r="M11" s="48">
        <v>47</v>
      </c>
    </row>
    <row r="12" spans="1:13">
      <c r="A12" s="29" t="s">
        <v>29</v>
      </c>
      <c r="B12" s="34">
        <f>SUM(C12:F12)</f>
        <v>5</v>
      </c>
      <c r="C12" s="34">
        <v>1</v>
      </c>
      <c r="D12" s="34">
        <v>1</v>
      </c>
      <c r="E12" s="34">
        <v>1</v>
      </c>
      <c r="F12" s="34">
        <v>2</v>
      </c>
      <c r="G12" s="48"/>
      <c r="H12" s="48">
        <v>1</v>
      </c>
      <c r="I12" s="48"/>
      <c r="J12" s="48"/>
      <c r="K12" s="48">
        <f>SUM(G12:J12)</f>
        <v>1</v>
      </c>
      <c r="L12" s="48">
        <f>+((C12+D12+E12+F12)-(G12+H12+I12+J12))*-1</f>
        <v>-4</v>
      </c>
      <c r="M12" s="48"/>
    </row>
    <row r="13" spans="1:13">
      <c r="A13" s="29" t="s">
        <v>87</v>
      </c>
      <c r="B13" s="34">
        <f>SUM(C13:F13)</f>
        <v>10</v>
      </c>
      <c r="C13" s="34">
        <v>2</v>
      </c>
      <c r="D13" s="34">
        <v>2</v>
      </c>
      <c r="E13" s="34">
        <v>3</v>
      </c>
      <c r="F13" s="34">
        <v>3</v>
      </c>
      <c r="G13" s="48">
        <v>1.5</v>
      </c>
      <c r="H13" s="48">
        <v>2.5</v>
      </c>
      <c r="I13" s="48">
        <v>2</v>
      </c>
      <c r="J13" s="48">
        <v>5</v>
      </c>
      <c r="K13" s="48">
        <f>SUM(G13:J13)</f>
        <v>11</v>
      </c>
      <c r="L13" s="48">
        <f>+((C13+D13+E13+F13)-(G13+H13+I13+J13))*-1</f>
        <v>1</v>
      </c>
      <c r="M13" s="48"/>
    </row>
    <row r="14" spans="1:13">
      <c r="A14" s="51" t="s">
        <v>30</v>
      </c>
      <c r="B14" s="34">
        <f>SUM(C14:F14)</f>
        <v>16</v>
      </c>
      <c r="C14" s="34">
        <v>4</v>
      </c>
      <c r="D14" s="34">
        <v>4</v>
      </c>
      <c r="E14" s="34">
        <v>4</v>
      </c>
      <c r="F14" s="34">
        <v>4</v>
      </c>
      <c r="G14" s="48">
        <v>4.5</v>
      </c>
      <c r="H14" s="48">
        <v>10</v>
      </c>
      <c r="I14" s="48">
        <v>2</v>
      </c>
      <c r="J14" s="48">
        <v>11</v>
      </c>
      <c r="K14" s="48">
        <f>SUM(G14:J14)</f>
        <v>27.5</v>
      </c>
      <c r="L14" s="48">
        <f>+((C14+D14+E14+F14)-(G14+H14+I14+J14))*-1</f>
        <v>11.5</v>
      </c>
      <c r="M14" s="48">
        <v>31</v>
      </c>
    </row>
    <row r="15" spans="1:13">
      <c r="A15" s="51" t="s">
        <v>31</v>
      </c>
      <c r="B15" s="34">
        <f>SUM(C15:F15)</f>
        <v>10</v>
      </c>
      <c r="C15" s="34">
        <v>2</v>
      </c>
      <c r="D15" s="34">
        <v>2</v>
      </c>
      <c r="E15" s="34">
        <v>2</v>
      </c>
      <c r="F15" s="34">
        <v>4</v>
      </c>
      <c r="G15" s="48">
        <v>1</v>
      </c>
      <c r="H15" s="48">
        <v>5</v>
      </c>
      <c r="I15" s="48">
        <v>1</v>
      </c>
      <c r="J15" s="48">
        <v>0.5</v>
      </c>
      <c r="K15" s="48">
        <f>SUM(G15:J15)</f>
        <v>7.5</v>
      </c>
      <c r="L15" s="48">
        <f>+((C15+D15+E15+F15)-(G15+H15+I15+J15))*-1</f>
        <v>-2.5</v>
      </c>
      <c r="M15" s="48">
        <v>22</v>
      </c>
    </row>
    <row r="16" spans="1:13">
      <c r="A16" s="51" t="s">
        <v>43</v>
      </c>
      <c r="B16" s="34">
        <f>SUM(C16:F16)</f>
        <v>10</v>
      </c>
      <c r="C16" s="34">
        <v>1</v>
      </c>
      <c r="D16" s="34">
        <v>2</v>
      </c>
      <c r="E16" s="34">
        <v>2</v>
      </c>
      <c r="F16" s="137">
        <v>5</v>
      </c>
      <c r="G16" s="48"/>
      <c r="H16" s="48"/>
      <c r="I16" s="138">
        <v>0</v>
      </c>
      <c r="J16" s="48"/>
      <c r="K16" s="48">
        <f>SUM(G16:J16)</f>
        <v>0</v>
      </c>
      <c r="L16" s="48">
        <f>+((C16+D16+E16+F16)-(G16+H16+I16+J16))*-1</f>
        <v>-10</v>
      </c>
      <c r="M16" s="48">
        <v>61</v>
      </c>
    </row>
    <row r="17" spans="1:16">
      <c r="A17" s="51" t="s">
        <v>32</v>
      </c>
      <c r="B17" s="34">
        <f>SUM(C17:F17)</f>
        <v>10</v>
      </c>
      <c r="C17" s="34">
        <v>1</v>
      </c>
      <c r="D17" s="34">
        <v>2</v>
      </c>
      <c r="E17" s="34">
        <v>3</v>
      </c>
      <c r="F17" s="34">
        <v>4</v>
      </c>
      <c r="G17" s="48"/>
      <c r="H17" s="48">
        <v>1</v>
      </c>
      <c r="I17" s="48">
        <v>1</v>
      </c>
      <c r="J17" s="48">
        <v>1</v>
      </c>
      <c r="K17" s="48">
        <f>SUM(G17:J17)</f>
        <v>3</v>
      </c>
      <c r="L17" s="48">
        <f>+((C17+D17+E17+F17)-(G17+H17+I17+J17))*-1</f>
        <v>-7</v>
      </c>
      <c r="M17" s="48">
        <v>29</v>
      </c>
      <c r="P17" s="139"/>
    </row>
    <row r="18" spans="1:13">
      <c r="A18" s="51" t="s">
        <v>98</v>
      </c>
      <c r="B18" s="34">
        <f>SUM(C18:F18)</f>
        <v>10</v>
      </c>
      <c r="C18" s="34">
        <v>1</v>
      </c>
      <c r="D18" s="34">
        <v>2</v>
      </c>
      <c r="E18" s="34">
        <v>3</v>
      </c>
      <c r="F18" s="34">
        <v>4</v>
      </c>
      <c r="G18" s="48"/>
      <c r="H18" s="48">
        <v>1</v>
      </c>
      <c r="I18" s="48">
        <v>2</v>
      </c>
      <c r="J18" s="48">
        <v>2</v>
      </c>
      <c r="K18" s="48">
        <f>SUM(G18:J18)</f>
        <v>5</v>
      </c>
      <c r="L18" s="48">
        <f>+((C18+D18+E18+F18)-(G18+H18+I18+J18))*-1</f>
        <v>-5</v>
      </c>
      <c r="M18" s="48">
        <v>6</v>
      </c>
    </row>
    <row r="19" spans="1:13">
      <c r="A19" s="51" t="s">
        <v>88</v>
      </c>
      <c r="B19" s="34">
        <f>SUM(C19:F19)</f>
        <v>10</v>
      </c>
      <c r="C19" s="34">
        <v>2</v>
      </c>
      <c r="D19" s="34">
        <v>2</v>
      </c>
      <c r="E19" s="34">
        <v>2</v>
      </c>
      <c r="F19" s="34">
        <v>4</v>
      </c>
      <c r="G19" s="48"/>
      <c r="H19" s="48"/>
      <c r="I19" s="48">
        <v>1</v>
      </c>
      <c r="J19" s="48">
        <v>1</v>
      </c>
      <c r="K19" s="48">
        <f>SUM(G19:J19)</f>
        <v>2</v>
      </c>
      <c r="L19" s="48">
        <f>+((C19+D19+E19+F19)-(G19+H19+I19+J19))*-1</f>
        <v>-8</v>
      </c>
      <c r="M19" s="48">
        <v>51</v>
      </c>
    </row>
    <row r="20" spans="1:13">
      <c r="A20" s="53" t="s">
        <v>33</v>
      </c>
      <c r="B20" s="34">
        <f>SUM(C20:F20)</f>
        <v>10</v>
      </c>
      <c r="C20" s="34">
        <v>1</v>
      </c>
      <c r="D20" s="34">
        <v>2</v>
      </c>
      <c r="E20" s="34">
        <v>2</v>
      </c>
      <c r="F20" s="34">
        <v>5</v>
      </c>
      <c r="G20" s="35">
        <v>2</v>
      </c>
      <c r="H20" s="35">
        <v>3.5</v>
      </c>
      <c r="I20" s="35">
        <v>25</v>
      </c>
      <c r="J20" s="48"/>
      <c r="K20" s="35">
        <f>SUM(G20:J20)</f>
        <v>30.5</v>
      </c>
      <c r="L20" s="48">
        <f>+((C20+D20+E20+F20)-(G20+H20+I20+J20))*-1</f>
        <v>20.5</v>
      </c>
      <c r="M20" s="35">
        <v>5</v>
      </c>
    </row>
    <row r="21" spans="1:13">
      <c r="A21" s="53" t="s">
        <v>35</v>
      </c>
      <c r="B21" s="34">
        <f>SUM(C21:F21)</f>
        <v>15</v>
      </c>
      <c r="C21" s="34">
        <v>4</v>
      </c>
      <c r="D21" s="34">
        <v>3</v>
      </c>
      <c r="E21" s="34">
        <v>4</v>
      </c>
      <c r="F21" s="34">
        <v>4</v>
      </c>
      <c r="G21" s="35"/>
      <c r="H21" s="35"/>
      <c r="I21" s="35"/>
      <c r="J21" s="35"/>
      <c r="K21" s="35">
        <f>SUM(G21:J21)</f>
        <v>0</v>
      </c>
      <c r="L21" s="48">
        <f>+((C21+D21+E21+F21)-(G21+H21+I21+J21))*-1</f>
        <v>-15</v>
      </c>
      <c r="M21" s="35"/>
    </row>
    <row r="22" spans="1:13">
      <c r="A22" s="53" t="s">
        <v>37</v>
      </c>
      <c r="B22" s="34"/>
      <c r="C22" s="34"/>
      <c r="D22" s="34"/>
      <c r="E22" s="34"/>
      <c r="F22" s="34"/>
      <c r="G22" s="35"/>
      <c r="H22" s="35"/>
      <c r="I22" s="35"/>
      <c r="J22" s="35"/>
      <c r="K22" s="35">
        <f>SUM(G22:J22)</f>
        <v>0</v>
      </c>
      <c r="L22" s="48">
        <f>+((C22+D22+E22+F22)-(G22+H22+I22+J22))*-1</f>
        <v>0</v>
      </c>
      <c r="M22" s="35">
        <v>10</v>
      </c>
    </row>
    <row r="23" spans="1:13">
      <c r="A23" s="53" t="s">
        <v>38</v>
      </c>
      <c r="B23" s="34">
        <f>SUM(C23:F23)</f>
        <v>30</v>
      </c>
      <c r="C23" s="34">
        <v>5</v>
      </c>
      <c r="D23" s="34">
        <v>7</v>
      </c>
      <c r="E23" s="34">
        <v>8</v>
      </c>
      <c r="F23" s="34">
        <v>10</v>
      </c>
      <c r="G23" s="38">
        <v>10</v>
      </c>
      <c r="H23" s="35">
        <v>10</v>
      </c>
      <c r="I23" s="35">
        <v>15</v>
      </c>
      <c r="J23" s="35">
        <v>6.5</v>
      </c>
      <c r="K23" s="35">
        <f>SUM(G23:J23)</f>
        <v>41.5</v>
      </c>
      <c r="L23" s="48">
        <f>+((C23+D23+E23+F23)-(G23+H23+I23+J23))*-1</f>
        <v>11.5</v>
      </c>
      <c r="M23" s="35">
        <v>1</v>
      </c>
    </row>
    <row r="24" spans="1:13">
      <c r="A24" s="54" t="s">
        <v>39</v>
      </c>
      <c r="B24" s="147">
        <f>SUM(B8:B23)</f>
        <v>190</v>
      </c>
      <c r="C24" s="147">
        <f>SUM(C8:C23)</f>
        <v>39</v>
      </c>
      <c r="D24" s="147">
        <f t="shared" ref="D24:M24" si="3">SUM(D8:D23)</f>
        <v>42</v>
      </c>
      <c r="E24" s="147">
        <f>SUM(E8:E23)</f>
        <v>50</v>
      </c>
      <c r="F24" s="147">
        <f>SUM(F8:F23)</f>
        <v>59</v>
      </c>
      <c r="G24" s="147">
        <f>SUM(G8:G23)</f>
        <v>42.5</v>
      </c>
      <c r="H24" s="147">
        <f>SUM(H8:H23)</f>
        <v>44</v>
      </c>
      <c r="I24" s="147">
        <f>SUM(I8:I23)</f>
        <v>70</v>
      </c>
      <c r="J24" s="147">
        <f>SUM(J8:J23)</f>
        <v>29</v>
      </c>
      <c r="K24" s="108">
        <f>SUM(G24:J24)</f>
        <v>185.5</v>
      </c>
      <c r="L24" s="48">
        <f>+((C24+D24+E24+F24)-(G24+H24+I24+J24))*-1</f>
        <v>-4.5</v>
      </c>
      <c r="M24" s="147">
        <f>SUM(M8:M23)</f>
        <v>390</v>
      </c>
    </row>
    <row r="25" spans="1:15">
      <c r="A25" s="148" t="s">
        <v>40</v>
      </c>
      <c r="B25" s="149"/>
      <c r="C25" s="23" t="s">
        <v>14</v>
      </c>
      <c r="D25" s="23"/>
      <c r="E25" s="23"/>
      <c r="F25" s="24"/>
      <c r="G25" s="11" t="s">
        <v>15</v>
      </c>
      <c r="H25" s="23"/>
      <c r="I25" s="23"/>
      <c r="J25" s="24"/>
      <c r="K25" s="63"/>
      <c r="L25" s="64"/>
      <c r="M25" s="107"/>
      <c r="N25" s="89"/>
      <c r="O25" s="90"/>
    </row>
    <row r="26" ht="25.5" spans="1:15">
      <c r="A26" s="25" t="s">
        <v>16</v>
      </c>
      <c r="B26" s="25" t="s">
        <v>17</v>
      </c>
      <c r="C26" s="25" t="s">
        <v>18</v>
      </c>
      <c r="D26" s="25" t="s">
        <v>73</v>
      </c>
      <c r="E26" s="25" t="s">
        <v>74</v>
      </c>
      <c r="F26" s="25" t="s">
        <v>115</v>
      </c>
      <c r="G26" s="25" t="s">
        <v>18</v>
      </c>
      <c r="H26" s="25" t="s">
        <v>73</v>
      </c>
      <c r="I26" s="25" t="s">
        <v>74</v>
      </c>
      <c r="J26" s="25" t="s">
        <v>115</v>
      </c>
      <c r="K26" s="25" t="s">
        <v>22</v>
      </c>
      <c r="L26" s="25" t="s">
        <v>41</v>
      </c>
      <c r="M26" s="25" t="s">
        <v>42</v>
      </c>
      <c r="N26" s="89"/>
      <c r="O26" s="90"/>
    </row>
    <row r="27" spans="1:15">
      <c r="A27" s="29" t="s">
        <v>25</v>
      </c>
      <c r="B27" s="48">
        <f>SUM(C27:F27)</f>
        <v>10.5</v>
      </c>
      <c r="C27" s="35">
        <v>2.2</v>
      </c>
      <c r="D27" s="34">
        <v>2.25</v>
      </c>
      <c r="E27" s="34">
        <v>2.55</v>
      </c>
      <c r="F27" s="34">
        <v>3.5</v>
      </c>
      <c r="G27" s="49">
        <f>(23800+16700+17300+29800+62800+26400)/100000</f>
        <v>1.768</v>
      </c>
      <c r="H27" s="50">
        <f>(11000+13000+18600+46000+41920+88000+64300)/100000</f>
        <v>2.8282</v>
      </c>
      <c r="I27" s="50">
        <f>(19800+17900+61000+18400+18000+29320)/100000</f>
        <v>1.6442</v>
      </c>
      <c r="J27" s="50">
        <f>(17000+29300+106700+22560+44900+93864)/100000</f>
        <v>3.14324</v>
      </c>
      <c r="K27" s="50">
        <f t="shared" ref="K27:K41" si="4">SUM(G27:J27)</f>
        <v>9.38364</v>
      </c>
      <c r="L27" s="50">
        <f>+((C27+D27+E27+F27)-(G27+H27+I27+J27))*-1</f>
        <v>-1.11636</v>
      </c>
      <c r="M27" s="91">
        <f>+K27/B27</f>
        <v>0.89368</v>
      </c>
      <c r="N27" s="89"/>
      <c r="O27" s="90"/>
    </row>
    <row r="28" spans="1:15">
      <c r="A28" s="29" t="s">
        <v>26</v>
      </c>
      <c r="B28" s="48">
        <f t="shared" ref="B28:B41" si="5">SUM(C28:F28)</f>
        <v>11</v>
      </c>
      <c r="C28" s="35">
        <v>2</v>
      </c>
      <c r="D28" s="34">
        <v>3</v>
      </c>
      <c r="E28" s="34">
        <v>2.5</v>
      </c>
      <c r="F28" s="34">
        <v>3.5</v>
      </c>
      <c r="G28" s="129">
        <f>(12800+7400+18300+63400+46000+37100)/100000</f>
        <v>1.85</v>
      </c>
      <c r="H28" s="130">
        <f>(46900+65900+47000+7500+48200+72200+31800)/100000</f>
        <v>3.195</v>
      </c>
      <c r="I28" s="50">
        <f>(9800+11300+31900+68900+92040+74500)/100000</f>
        <v>2.8844</v>
      </c>
      <c r="J28" s="134">
        <f>(27400+49200+71100+105400+37200)/100000</f>
        <v>2.903</v>
      </c>
      <c r="K28" s="50">
        <f>SUM(G28:J28)</f>
        <v>10.8324</v>
      </c>
      <c r="L28" s="50">
        <f t="shared" ref="L28:L42" si="6">+((C28+D28+E28+F28)-(G28+H28+I28+J28))*-1</f>
        <v>-0.1676</v>
      </c>
      <c r="M28" s="91">
        <f>+K28/B28</f>
        <v>0.984763636363636</v>
      </c>
      <c r="N28" s="92"/>
      <c r="O28" s="93"/>
    </row>
    <row r="29" spans="1:15">
      <c r="A29" s="29" t="s">
        <v>27</v>
      </c>
      <c r="B29" s="48">
        <f>SUM(C29:F29)</f>
        <v>8.75</v>
      </c>
      <c r="C29" s="34">
        <v>1.5</v>
      </c>
      <c r="D29" s="34">
        <v>2.25</v>
      </c>
      <c r="E29" s="34">
        <v>2</v>
      </c>
      <c r="F29" s="34">
        <v>3</v>
      </c>
      <c r="G29" s="129">
        <f>(14600+16800+8100+11200+22700+20900)/100000</f>
        <v>0.943</v>
      </c>
      <c r="H29" s="50">
        <f>(55780+58445+8400+10600+8600+30700+39120)/100000</f>
        <v>2.11645</v>
      </c>
      <c r="I29" s="50">
        <f>(14900+12400+31600+52800+56100+14200)/100000</f>
        <v>1.82</v>
      </c>
      <c r="J29" s="134">
        <f>(60175+102400+37800+96800)/100000</f>
        <v>2.97175</v>
      </c>
      <c r="K29" s="50">
        <f>SUM(G29:J29)</f>
        <v>7.8512</v>
      </c>
      <c r="L29" s="50">
        <f>+((C29+D29+E29+F29)-(G29+H29+I29+J29))*-1</f>
        <v>-0.8988</v>
      </c>
      <c r="M29" s="91">
        <f t="shared" ref="M29:M42" si="7">+K29/B29</f>
        <v>0.89728</v>
      </c>
      <c r="N29" s="92"/>
      <c r="O29" s="93"/>
    </row>
    <row r="30" spans="1:15">
      <c r="A30" s="29" t="s">
        <v>28</v>
      </c>
      <c r="B30" s="48">
        <f>SUM(C30:F30)</f>
        <v>7.75</v>
      </c>
      <c r="C30" s="34">
        <v>1.5</v>
      </c>
      <c r="D30" s="34">
        <v>2</v>
      </c>
      <c r="E30" s="34">
        <v>1.75</v>
      </c>
      <c r="F30" s="34">
        <v>2.5</v>
      </c>
      <c r="G30" s="129">
        <f>(12600+19800+11100+15900+18000+15700)/100000</f>
        <v>0.931</v>
      </c>
      <c r="H30" s="140">
        <f>(14000+11900+17700+76500+37800+29940+13250)/100000</f>
        <v>2.0109</v>
      </c>
      <c r="I30" s="50">
        <f>(40300+13500+13400+24900+41120+12200)/100000</f>
        <v>1.4542</v>
      </c>
      <c r="J30" s="134">
        <f>(27600+32300+86400+75100+70560)/100000</f>
        <v>2.9196</v>
      </c>
      <c r="K30" s="50">
        <f>SUM(G30:J30)</f>
        <v>7.3157</v>
      </c>
      <c r="L30" s="50">
        <f>+((C30+D30+E30+F30)-(G30+H30+I30+J30))*-1</f>
        <v>-0.4343</v>
      </c>
      <c r="M30" s="91">
        <f>+K30/B30</f>
        <v>0.943961290322581</v>
      </c>
      <c r="N30" s="92"/>
      <c r="O30" s="93"/>
    </row>
    <row r="31" spans="1:15">
      <c r="A31" s="29" t="s">
        <v>29</v>
      </c>
      <c r="B31" s="48">
        <f>SUM(C31:F31)</f>
        <v>2.5</v>
      </c>
      <c r="C31" s="34">
        <v>0.45</v>
      </c>
      <c r="D31" s="34">
        <v>0.8</v>
      </c>
      <c r="E31" s="34">
        <v>0.5</v>
      </c>
      <c r="F31" s="34">
        <v>0.75</v>
      </c>
      <c r="G31" s="129">
        <f>(12000+12000)/100000</f>
        <v>0.24</v>
      </c>
      <c r="H31" s="157">
        <f>(28000+14000+5000+13200+29500)/100000</f>
        <v>0.897</v>
      </c>
      <c r="I31" s="50">
        <f>(31400+28260)/1000000</f>
        <v>0.05966</v>
      </c>
      <c r="J31" s="134">
        <f>(4400+13200+10000+25434+45700)/100000</f>
        <v>0.98734</v>
      </c>
      <c r="K31" s="50">
        <f>SUM(G31:J31)</f>
        <v>2.184</v>
      </c>
      <c r="L31" s="50">
        <f>+((C31+D31+E31+F31)-(G31+H31+I31+J31))*-1</f>
        <v>-0.316</v>
      </c>
      <c r="M31" s="91">
        <f>+K31/B31</f>
        <v>0.8736</v>
      </c>
      <c r="N31" s="92"/>
      <c r="O31" s="93"/>
    </row>
    <row r="32" spans="1:15">
      <c r="A32" s="29" t="s">
        <v>87</v>
      </c>
      <c r="B32" s="48">
        <f>SUM(C32:F32)</f>
        <v>1.6</v>
      </c>
      <c r="C32" s="34">
        <v>0.3</v>
      </c>
      <c r="D32" s="34">
        <v>0.5</v>
      </c>
      <c r="E32" s="34">
        <v>0.4</v>
      </c>
      <c r="F32" s="34">
        <v>0.4</v>
      </c>
      <c r="G32" s="129">
        <f>(2900+2500+7200+13400+5500+3600)/100000</f>
        <v>0.351</v>
      </c>
      <c r="H32" s="50">
        <f>(13200+16750+11350+13100+5300+8400+3600)/100000</f>
        <v>0.717</v>
      </c>
      <c r="I32" s="50">
        <f>(19850+9400+6150+4500+5400+27150)/100000</f>
        <v>0.7245</v>
      </c>
      <c r="J32" s="134">
        <f>(3300+2700+3750+8200+4600)/100000</f>
        <v>0.2255</v>
      </c>
      <c r="K32" s="50">
        <f>SUM(G32:J32)</f>
        <v>2.018</v>
      </c>
      <c r="L32" s="50">
        <f>+((C32+D32+E32+F32)-(G32+H32+I32+J32))*-1</f>
        <v>0.418</v>
      </c>
      <c r="M32" s="91">
        <f>+K32/B32</f>
        <v>1.26125</v>
      </c>
      <c r="N32" s="92"/>
      <c r="O32" s="93"/>
    </row>
    <row r="33" spans="1:15">
      <c r="A33" s="51" t="s">
        <v>30</v>
      </c>
      <c r="B33" s="48">
        <f>SUM(C33:F33)</f>
        <v>9</v>
      </c>
      <c r="C33" s="35">
        <v>2</v>
      </c>
      <c r="D33" s="52">
        <v>2</v>
      </c>
      <c r="E33" s="52">
        <v>2</v>
      </c>
      <c r="F33" s="52">
        <v>3</v>
      </c>
      <c r="G33" s="129">
        <f>(2000+7500+94400+9500+38700+53500)/100000</f>
        <v>2.056</v>
      </c>
      <c r="H33" s="50">
        <f>(8600+50000+44100+8000+1500+61400+112400)/100000</f>
        <v>2.86</v>
      </c>
      <c r="I33" s="50">
        <f>(2000+2000+16400+5500+100+13200)/100000</f>
        <v>0.392</v>
      </c>
      <c r="J33" s="134">
        <f>(54400+2000+62000+1500+87100)/100000</f>
        <v>2.07</v>
      </c>
      <c r="K33" s="50">
        <f>SUM(G33:J33)</f>
        <v>7.378</v>
      </c>
      <c r="L33" s="50">
        <f>+((C33+D33+E33+F33)-(G33+H33+I33+J33))*-1</f>
        <v>-1.622</v>
      </c>
      <c r="M33" s="91">
        <f>+K33/B33</f>
        <v>0.819777777777778</v>
      </c>
      <c r="N33" s="94"/>
      <c r="O33" s="95"/>
    </row>
    <row r="34" spans="1:15">
      <c r="A34" s="51" t="s">
        <v>31</v>
      </c>
      <c r="B34" s="48">
        <f>SUM(C34:F34)</f>
        <v>4.5</v>
      </c>
      <c r="C34" s="35">
        <v>1</v>
      </c>
      <c r="D34" s="52">
        <v>1</v>
      </c>
      <c r="E34" s="52">
        <v>1</v>
      </c>
      <c r="F34" s="52">
        <v>1.5</v>
      </c>
      <c r="G34" s="129">
        <f>(13800+12350+12550+15900+23350+21450)/100000</f>
        <v>0.994</v>
      </c>
      <c r="H34" s="50">
        <f>(13400+10400+29350+14900+10950+14500+18800)/100000</f>
        <v>1.123</v>
      </c>
      <c r="I34" s="50">
        <f>(12300+12400+14500+9315+25300+16000)/100000</f>
        <v>0.89815</v>
      </c>
      <c r="J34" s="134">
        <f>(15500+20600+12600+22900+25200)/100000</f>
        <v>0.968</v>
      </c>
      <c r="K34" s="50">
        <f>SUM(G34:J34)</f>
        <v>3.98315</v>
      </c>
      <c r="L34" s="50">
        <f>+((C34+D34+E34+F34)-(G34+H34+I34+J34))*-1</f>
        <v>-0.51685</v>
      </c>
      <c r="M34" s="91">
        <f>+K34/B34</f>
        <v>0.885144444444444</v>
      </c>
      <c r="N34" s="92"/>
      <c r="O34" s="93"/>
    </row>
    <row r="35" spans="1:15">
      <c r="A35" s="51" t="s">
        <v>32</v>
      </c>
      <c r="B35" s="48">
        <f>SUM(C35:F35)</f>
        <v>7.15</v>
      </c>
      <c r="C35" s="35">
        <v>1.5</v>
      </c>
      <c r="D35" s="52">
        <v>1.8</v>
      </c>
      <c r="E35" s="52">
        <v>1.5</v>
      </c>
      <c r="F35" s="52">
        <v>2.35</v>
      </c>
      <c r="G35" s="129">
        <f>(18400+16600+14550+17200+18400+38700)/100000</f>
        <v>1.2385</v>
      </c>
      <c r="H35" s="50">
        <f>(22300+38125+25400+16600+20150+12650+47750)/100000</f>
        <v>1.82975</v>
      </c>
      <c r="I35" s="50">
        <f>(22050+14500+16000+19100+41900+78610)/100000</f>
        <v>1.9216</v>
      </c>
      <c r="J35" s="134">
        <f>(14900+16900+14200+19500+74830)/100000</f>
        <v>1.4033</v>
      </c>
      <c r="K35" s="50">
        <f>SUM(G35:J35)</f>
        <v>6.39315</v>
      </c>
      <c r="L35" s="50">
        <f>+((C35+D35+E35+F35)-(G35+H35+I35+J35))*-1</f>
        <v>-0.756850000000001</v>
      </c>
      <c r="M35" s="91">
        <f>+K35/B35</f>
        <v>0.894146853146853</v>
      </c>
      <c r="N35" s="92"/>
      <c r="O35" s="93"/>
    </row>
    <row r="36" spans="1:15">
      <c r="A36" s="51" t="s">
        <v>98</v>
      </c>
      <c r="B36" s="48">
        <f>SUM(C36:F36)</f>
        <v>5.5</v>
      </c>
      <c r="C36" s="35">
        <v>1.3</v>
      </c>
      <c r="D36" s="52">
        <v>1.3</v>
      </c>
      <c r="E36" s="52">
        <v>1.4</v>
      </c>
      <c r="F36" s="52">
        <v>1.5</v>
      </c>
      <c r="G36" s="129">
        <f>(15550+12600+10100+19400+66050+11800)/100000</f>
        <v>1.355</v>
      </c>
      <c r="H36" s="50">
        <f>(21600+17050+21800+14620+21860+18700+30700)/100000</f>
        <v>1.4633</v>
      </c>
      <c r="I36" s="50">
        <f>(15300+23150+24600+25200+10200+38800)/100000</f>
        <v>1.3725</v>
      </c>
      <c r="J36" s="134">
        <f>(16250+19950+16000+23900+55950)/100000</f>
        <v>1.3205</v>
      </c>
      <c r="K36" s="50">
        <f>SUM(G36:J36)</f>
        <v>5.5113</v>
      </c>
      <c r="L36" s="50">
        <f>+((C36+D36+E36+F36)-(G36+H36+I36+J36))*-1</f>
        <v>0.0112999999999994</v>
      </c>
      <c r="M36" s="91">
        <f>+K36/B36</f>
        <v>1.00205454545455</v>
      </c>
      <c r="N36" s="92"/>
      <c r="O36" s="93"/>
    </row>
    <row r="37" spans="1:15">
      <c r="A37" s="51" t="s">
        <v>43</v>
      </c>
      <c r="B37" s="48">
        <f>SUM(C37:F37)</f>
        <v>8</v>
      </c>
      <c r="C37" s="35">
        <v>1.5</v>
      </c>
      <c r="D37" s="52">
        <v>2</v>
      </c>
      <c r="E37" s="52">
        <v>2</v>
      </c>
      <c r="F37" s="52">
        <v>2.5</v>
      </c>
      <c r="G37" s="129">
        <f>(19150+9500+14400+19400+16700+37750)/100000</f>
        <v>1.169</v>
      </c>
      <c r="H37" s="50">
        <f>(13800+13300+21350+29000+34400+16400+42200)/100000</f>
        <v>1.7045</v>
      </c>
      <c r="I37" s="50">
        <f>(37900+21900+40100+63500+29550)/100000</f>
        <v>1.9295</v>
      </c>
      <c r="J37" s="134">
        <f>(94300+70700+13300+20900+53990)/100000</f>
        <v>2.5319</v>
      </c>
      <c r="K37" s="50">
        <f>SUM(G37:J37)</f>
        <v>7.3349</v>
      </c>
      <c r="L37" s="50">
        <f>+((C37+D37+E37+F37)-(G37+H37+I37+J37))*-1</f>
        <v>-0.665100000000001</v>
      </c>
      <c r="M37" s="91">
        <f>+K37/B37</f>
        <v>0.9168625</v>
      </c>
      <c r="N37" s="92"/>
      <c r="O37" s="93"/>
    </row>
    <row r="38" spans="1:15">
      <c r="A38" s="51" t="s">
        <v>88</v>
      </c>
      <c r="B38" s="48">
        <f ca="1">SUM(C38:D38:E38:F38)</f>
        <v>4.25</v>
      </c>
      <c r="C38" s="35">
        <v>0.75</v>
      </c>
      <c r="D38" s="52">
        <v>1</v>
      </c>
      <c r="E38" s="52">
        <v>1.25</v>
      </c>
      <c r="F38" s="52">
        <v>1.25</v>
      </c>
      <c r="G38" s="129">
        <f>(12550+9100+7600+14100+26600+16600)/100000</f>
        <v>0.8655</v>
      </c>
      <c r="H38" s="50">
        <f>(9300+11500+19200+19200+20000+15300+27300)/100000</f>
        <v>1.218</v>
      </c>
      <c r="I38" s="50">
        <f>(12500+17700+25900+9500+16650+11400)/100000</f>
        <v>0.9365</v>
      </c>
      <c r="J38" s="134">
        <f>(25300+25500+16600+16350+18850)/100000</f>
        <v>1.026</v>
      </c>
      <c r="K38" s="50">
        <f>SUM(G38:J38)</f>
        <v>4.046</v>
      </c>
      <c r="L38" s="50">
        <f>+((C38+D38+E38+F38)-(G38+H38+I38+J38))*-1</f>
        <v>-0.204</v>
      </c>
      <c r="M38" s="91">
        <f ca="1">+K38/B38</f>
        <v>0.952</v>
      </c>
      <c r="N38" s="92"/>
      <c r="O38" s="93"/>
    </row>
    <row r="39" spans="1:15">
      <c r="A39" s="53" t="s">
        <v>37</v>
      </c>
      <c r="B39" s="48">
        <f>SUM(C39:F39)</f>
        <v>1</v>
      </c>
      <c r="C39" s="35">
        <v>0.25</v>
      </c>
      <c r="D39" s="52">
        <v>0.25</v>
      </c>
      <c r="E39" s="52">
        <v>0.25</v>
      </c>
      <c r="F39" s="52">
        <v>0.25</v>
      </c>
      <c r="G39" s="129">
        <f>(4400)/100000</f>
        <v>0.044</v>
      </c>
      <c r="H39" s="50"/>
      <c r="I39" s="50"/>
      <c r="J39" s="134">
        <f>(19800+26180)/100000</f>
        <v>0.4598</v>
      </c>
      <c r="K39" s="50">
        <f>SUM(G39:J39)</f>
        <v>0.5038</v>
      </c>
      <c r="L39" s="50">
        <f>+((C39+D39+E39+F39)-(G39+H39+I39+J39))*-1</f>
        <v>-0.4962</v>
      </c>
      <c r="M39" s="91">
        <f>+K39/B39</f>
        <v>0.5038</v>
      </c>
      <c r="N39" s="92"/>
      <c r="O39" s="93"/>
    </row>
    <row r="40" spans="1:15">
      <c r="A40" s="53" t="s">
        <v>35</v>
      </c>
      <c r="B40" s="48">
        <f>SUM(C40:F40)</f>
        <v>5</v>
      </c>
      <c r="C40" s="35">
        <v>1</v>
      </c>
      <c r="D40" s="52">
        <v>1</v>
      </c>
      <c r="E40" s="52">
        <v>1.5</v>
      </c>
      <c r="F40" s="52">
        <v>1.5</v>
      </c>
      <c r="G40" s="129"/>
      <c r="H40" s="50">
        <f>(30800+85800+8800)/100000</f>
        <v>1.254</v>
      </c>
      <c r="I40" s="50">
        <f>(8800)/100000</f>
        <v>0.088</v>
      </c>
      <c r="J40" s="134">
        <f>(150000+100000+83615)/100000</f>
        <v>3.33615</v>
      </c>
      <c r="K40" s="50">
        <f>SUM(G40:J40)</f>
        <v>4.67815</v>
      </c>
      <c r="L40" s="50">
        <f>+((C40+D40+E40+F40)-(G40+H40+I40+J40))*-1</f>
        <v>-0.32185</v>
      </c>
      <c r="M40" s="91">
        <f>+K40/B40</f>
        <v>0.93563</v>
      </c>
      <c r="N40" s="92"/>
      <c r="O40" s="93"/>
    </row>
    <row r="41" spans="1:15">
      <c r="A41" s="53" t="s">
        <v>38</v>
      </c>
      <c r="B41" s="48">
        <f>SUM(C41:F41)</f>
        <v>14</v>
      </c>
      <c r="C41" s="35">
        <v>2</v>
      </c>
      <c r="D41" s="52">
        <v>2.5</v>
      </c>
      <c r="E41" s="52">
        <v>4</v>
      </c>
      <c r="F41" s="52">
        <v>5.5</v>
      </c>
      <c r="G41" s="129">
        <f>(24781+580+9010+27900+39500+62020)/100000</f>
        <v>1.63791</v>
      </c>
      <c r="H41" s="50">
        <f>(66300+9002+116100+24400+37725+54300+42400)/100000</f>
        <v>3.50227</v>
      </c>
      <c r="I41" s="50">
        <f>(40200+1200+113400+21000+25434+165600+84255)/100000</f>
        <v>4.51089</v>
      </c>
      <c r="J41" s="134">
        <f>(80996+120200+24200+54180+283195)/100000</f>
        <v>5.62771</v>
      </c>
      <c r="K41" s="50">
        <f>SUM(G41:J41)</f>
        <v>15.27878</v>
      </c>
      <c r="L41" s="50">
        <f>+((C41+D41+E41+F41)-(G41+H41+I41+J41))*-1</f>
        <v>1.27878</v>
      </c>
      <c r="M41" s="91">
        <f>+K41/B41</f>
        <v>1.09134142857143</v>
      </c>
      <c r="N41" s="92"/>
      <c r="O41" s="93"/>
    </row>
    <row r="42" spans="1:15">
      <c r="A42" s="54" t="s">
        <v>44</v>
      </c>
      <c r="B42" s="48">
        <f ca="1" t="shared" ref="B42:K42" si="8">SUM(B27:B41)</f>
        <v>100.5</v>
      </c>
      <c r="C42" s="35">
        <f>SUM(C27:C41)</f>
        <v>19.25</v>
      </c>
      <c r="D42" s="48">
        <f>SUM(D27:D41)</f>
        <v>23.65</v>
      </c>
      <c r="E42" s="48">
        <f>SUM(E27:E41)</f>
        <v>24.6</v>
      </c>
      <c r="F42" s="48">
        <f>SUM(F27:F41)</f>
        <v>33</v>
      </c>
      <c r="G42" s="131">
        <f>SUM(G27:G41)</f>
        <v>15.44291</v>
      </c>
      <c r="H42" s="50">
        <f>SUM(H27:H41)</f>
        <v>26.71937</v>
      </c>
      <c r="I42" s="50">
        <f>SUM(I27:I41)</f>
        <v>20.6361</v>
      </c>
      <c r="J42" s="134">
        <f>SUM(J27:J41)</f>
        <v>31.89379</v>
      </c>
      <c r="K42" s="135">
        <f>SUM(K27:K41)</f>
        <v>94.69217</v>
      </c>
      <c r="L42" s="50">
        <f>+((C42+D42+E42+F42)-(G42+H42+I42+J42))*-1</f>
        <v>-5.80783</v>
      </c>
      <c r="M42" s="154">
        <f ca="1">+K42/B42</f>
        <v>0.942210646766169</v>
      </c>
      <c r="N42" s="92"/>
      <c r="O42" s="93"/>
    </row>
    <row r="43" spans="1:15">
      <c r="A43" s="55"/>
      <c r="B43" s="56"/>
      <c r="C43" s="57"/>
      <c r="N43" s="94"/>
      <c r="O43" s="95"/>
    </row>
    <row r="44" spans="14:15">
      <c r="N44" s="92"/>
      <c r="O44" s="93"/>
    </row>
    <row r="45" spans="14:15">
      <c r="N45" s="92"/>
      <c r="O45" s="93"/>
    </row>
    <row r="46" spans="14:15">
      <c r="N46" s="92"/>
      <c r="O46" s="93"/>
    </row>
    <row r="47" spans="14:15">
      <c r="N47" s="92"/>
      <c r="O47" s="93"/>
    </row>
    <row r="48" spans="14:15">
      <c r="N48" s="92"/>
      <c r="O48" s="93"/>
    </row>
    <row r="49" spans="14:15">
      <c r="N49" s="92"/>
      <c r="O49" s="93"/>
    </row>
    <row r="50" spans="14:15">
      <c r="N50" s="92"/>
      <c r="O50" s="93"/>
    </row>
    <row r="51" spans="14:15">
      <c r="N51" s="92"/>
      <c r="O51" s="93"/>
    </row>
    <row r="52" spans="14:15">
      <c r="N52" s="92"/>
      <c r="O52" s="93"/>
    </row>
    <row r="53" spans="14:15">
      <c r="N53" s="94"/>
      <c r="O53" s="95"/>
    </row>
    <row r="54" spans="14:15">
      <c r="N54" s="92"/>
      <c r="O54" s="93"/>
    </row>
    <row r="55" spans="14:15">
      <c r="N55" s="92"/>
      <c r="O55" s="93"/>
    </row>
    <row r="56" spans="14:15">
      <c r="N56" s="92"/>
      <c r="O56" s="93"/>
    </row>
    <row r="57" spans="14:15">
      <c r="N57" s="92"/>
      <c r="O57" s="93"/>
    </row>
    <row r="58" spans="14:15">
      <c r="N58" s="92"/>
      <c r="O58" s="93"/>
    </row>
    <row r="59" spans="14:15">
      <c r="N59" s="92"/>
      <c r="O59" s="93"/>
    </row>
    <row r="60" spans="14:15">
      <c r="N60" s="92"/>
      <c r="O60" s="93"/>
    </row>
    <row r="61" spans="14:15">
      <c r="N61" s="94"/>
      <c r="O61" s="95"/>
    </row>
    <row r="62" spans="14:15">
      <c r="N62" s="92"/>
      <c r="O62" s="93"/>
    </row>
    <row r="63" spans="14:15">
      <c r="N63" s="92"/>
      <c r="O63" s="93"/>
    </row>
    <row r="64" spans="14:15">
      <c r="N64" s="92"/>
      <c r="O64" s="93"/>
    </row>
    <row r="65" spans="14:15">
      <c r="N65" s="92"/>
      <c r="O65" s="93"/>
    </row>
    <row r="66" spans="14:15">
      <c r="N66" s="92"/>
      <c r="O66" s="93"/>
    </row>
    <row r="67" spans="14:15">
      <c r="N67" s="92"/>
      <c r="O67" s="93"/>
    </row>
    <row r="68" spans="14:15">
      <c r="N68" s="92"/>
      <c r="O68" s="93"/>
    </row>
    <row r="69" spans="14:15">
      <c r="N69" s="92"/>
      <c r="O69" s="96"/>
    </row>
  </sheetData>
  <mergeCells count="6">
    <mergeCell ref="B1:M1"/>
    <mergeCell ref="D5:F5"/>
    <mergeCell ref="C6:F6"/>
    <mergeCell ref="G6:J6"/>
    <mergeCell ref="C25:F25"/>
    <mergeCell ref="G25:J25"/>
  </mergeCells>
  <pageMargins left="0.708333333333333" right="0.708333333333333" top="0.747916666666667" bottom="0.747916666666667" header="0.314583333333333" footer="0.314583333333333"/>
  <pageSetup paperSize="9" scale="75" orientation="landscape" verticalDpi="180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69"/>
  <sheetViews>
    <sheetView topLeftCell="A34" workbookViewId="0">
      <selection activeCell="A1" sqref="A1:M42"/>
    </sheetView>
  </sheetViews>
  <sheetFormatPr defaultColWidth="9" defaultRowHeight="15"/>
  <cols>
    <col min="1" max="1" width="18.8571428571429" style="1" customWidth="1"/>
    <col min="2" max="2" width="10.1428571428571" style="2" customWidth="1"/>
    <col min="3" max="3" width="9.42857142857143" style="1" customWidth="1"/>
    <col min="4" max="5" width="9.71428571428571" style="1" customWidth="1"/>
    <col min="6" max="6" width="10.2857142857143" style="1" customWidth="1"/>
    <col min="7" max="7" width="10.1428571428571" style="1" customWidth="1"/>
    <col min="8" max="8" width="10.2857142857143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spans="1:13">
      <c r="A1" s="125" t="s">
        <v>116</v>
      </c>
      <c r="B1" s="119" t="s">
        <v>117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spans="1:13">
      <c r="A2" s="6" t="s">
        <v>2</v>
      </c>
      <c r="B2" s="7">
        <f>+K24</f>
        <v>189.5</v>
      </c>
      <c r="C2" s="8"/>
      <c r="D2" s="8"/>
      <c r="E2" s="8"/>
      <c r="F2" s="8"/>
      <c r="G2" s="8"/>
      <c r="H2" s="8"/>
      <c r="I2" s="8"/>
      <c r="J2" s="8"/>
      <c r="K2" s="8"/>
      <c r="L2" s="8"/>
      <c r="M2" s="104"/>
    </row>
    <row r="3" spans="1:13">
      <c r="A3" s="6" t="s">
        <v>3</v>
      </c>
      <c r="B3" s="7">
        <f>+M24</f>
        <v>304</v>
      </c>
      <c r="C3" s="8"/>
      <c r="D3" s="8"/>
      <c r="E3" s="8"/>
      <c r="F3" s="8"/>
      <c r="G3" s="8"/>
      <c r="H3" s="8"/>
      <c r="I3" s="8"/>
      <c r="J3" s="8"/>
      <c r="K3" s="8"/>
      <c r="L3" s="8"/>
      <c r="M3" s="104"/>
    </row>
    <row r="4" spans="1:13">
      <c r="A4" s="6" t="s">
        <v>118</v>
      </c>
      <c r="B4" s="11"/>
      <c r="C4" s="12"/>
      <c r="D4" s="13" t="s">
        <v>119</v>
      </c>
      <c r="E4" s="12"/>
      <c r="F4" s="12"/>
      <c r="G4" s="14" t="s">
        <v>78</v>
      </c>
      <c r="H4" s="155"/>
      <c r="I4" s="12" t="s">
        <v>7</v>
      </c>
      <c r="J4" s="13">
        <f>+K42</f>
        <v>99.28851</v>
      </c>
      <c r="K4" s="12" t="s">
        <v>8</v>
      </c>
      <c r="L4" s="12" t="s">
        <v>102</v>
      </c>
      <c r="M4" s="106"/>
    </row>
    <row r="5" spans="1:13">
      <c r="A5" s="16" t="s">
        <v>10</v>
      </c>
      <c r="B5" s="17" t="s">
        <v>120</v>
      </c>
      <c r="C5" s="18" t="s">
        <v>121</v>
      </c>
      <c r="D5" s="19">
        <v>10185500</v>
      </c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5.5" spans="1:13">
      <c r="A7" s="25" t="s">
        <v>16</v>
      </c>
      <c r="B7" s="25" t="s">
        <v>17</v>
      </c>
      <c r="C7" s="25" t="s">
        <v>18</v>
      </c>
      <c r="D7" s="25" t="s">
        <v>122</v>
      </c>
      <c r="E7" s="25" t="s">
        <v>123</v>
      </c>
      <c r="F7" s="25" t="s">
        <v>106</v>
      </c>
      <c r="G7" s="25" t="s">
        <v>18</v>
      </c>
      <c r="H7" s="25" t="s">
        <v>122</v>
      </c>
      <c r="I7" s="25" t="s">
        <v>124</v>
      </c>
      <c r="J7" s="25" t="s">
        <v>107</v>
      </c>
      <c r="K7" s="25" t="s">
        <v>22</v>
      </c>
      <c r="L7" s="25" t="s">
        <v>23</v>
      </c>
      <c r="M7" s="25" t="s">
        <v>24</v>
      </c>
    </row>
    <row r="8" spans="1:13">
      <c r="A8" s="29" t="s">
        <v>25</v>
      </c>
      <c r="B8" s="34">
        <f>SUM(C8:F8)</f>
        <v>15</v>
      </c>
      <c r="C8" s="34">
        <v>5</v>
      </c>
      <c r="D8" s="34">
        <v>3</v>
      </c>
      <c r="E8" s="34">
        <v>5</v>
      </c>
      <c r="F8" s="34">
        <v>2</v>
      </c>
      <c r="G8" s="48">
        <v>6</v>
      </c>
      <c r="H8" s="48">
        <v>1</v>
      </c>
      <c r="I8" s="48"/>
      <c r="J8" s="48">
        <v>4</v>
      </c>
      <c r="K8" s="48">
        <f t="shared" ref="K8:K24" si="0">SUM(G8:J8)</f>
        <v>11</v>
      </c>
      <c r="L8" s="48">
        <f>+((C8+D8+E8+F8)-(G8+H8+I8+J8))*-1</f>
        <v>-4</v>
      </c>
      <c r="M8" s="48">
        <v>15</v>
      </c>
    </row>
    <row r="9" spans="1:13">
      <c r="A9" s="29" t="s">
        <v>26</v>
      </c>
      <c r="B9" s="34">
        <f t="shared" ref="B9:B23" si="1">SUM(C9:F9)</f>
        <v>15</v>
      </c>
      <c r="C9" s="34">
        <v>5</v>
      </c>
      <c r="D9" s="34">
        <v>5</v>
      </c>
      <c r="E9" s="34">
        <v>3</v>
      </c>
      <c r="F9" s="34">
        <v>2</v>
      </c>
      <c r="G9" s="48">
        <v>15</v>
      </c>
      <c r="H9" s="48"/>
      <c r="I9" s="48"/>
      <c r="J9" s="48">
        <v>2</v>
      </c>
      <c r="K9" s="48">
        <f>SUM(G9:J9)</f>
        <v>17</v>
      </c>
      <c r="L9" s="48">
        <f t="shared" ref="L9:L24" si="2">+((C9+D9+E9+F9)-(G9+H9+I9+J9))*-1</f>
        <v>2</v>
      </c>
      <c r="M9" s="48">
        <v>48</v>
      </c>
    </row>
    <row r="10" spans="1:17">
      <c r="A10" s="29" t="s">
        <v>27</v>
      </c>
      <c r="B10" s="34">
        <f>SUM(C10:F10)</f>
        <v>12</v>
      </c>
      <c r="C10" s="34">
        <v>2</v>
      </c>
      <c r="D10" s="34">
        <v>3</v>
      </c>
      <c r="E10" s="34">
        <v>4</v>
      </c>
      <c r="F10" s="34">
        <v>3</v>
      </c>
      <c r="G10" s="48"/>
      <c r="H10" s="48">
        <v>3</v>
      </c>
      <c r="I10" s="48">
        <v>11</v>
      </c>
      <c r="J10" s="48">
        <v>2</v>
      </c>
      <c r="K10" s="48">
        <f>SUM(G10:J10)</f>
        <v>16</v>
      </c>
      <c r="L10" s="48">
        <f>+((C10+D10+E10+F10)-(G10+H10+I10+J10))*-1</f>
        <v>4</v>
      </c>
      <c r="M10" s="48">
        <v>18</v>
      </c>
      <c r="Q10"/>
    </row>
    <row r="11" spans="1:13">
      <c r="A11" s="29" t="s">
        <v>28</v>
      </c>
      <c r="B11" s="34">
        <f>SUM(C11:F11)</f>
        <v>12</v>
      </c>
      <c r="C11" s="34">
        <v>3</v>
      </c>
      <c r="D11" s="34">
        <v>2</v>
      </c>
      <c r="E11" s="34">
        <v>4</v>
      </c>
      <c r="F11" s="34">
        <v>3</v>
      </c>
      <c r="G11" s="48">
        <v>1</v>
      </c>
      <c r="H11" s="48"/>
      <c r="I11" s="48">
        <v>2</v>
      </c>
      <c r="J11" s="48">
        <v>14</v>
      </c>
      <c r="K11" s="48">
        <f>SUM(G11:J11)</f>
        <v>17</v>
      </c>
      <c r="L11" s="48">
        <f>+((C11+D11+E11+F11)-(G11+H11+I11+J11))*-1</f>
        <v>5</v>
      </c>
      <c r="M11" s="48">
        <v>16</v>
      </c>
    </row>
    <row r="12" spans="1:13">
      <c r="A12" s="29" t="s">
        <v>29</v>
      </c>
      <c r="B12" s="34">
        <f>SUM(C12:F12)</f>
        <v>5</v>
      </c>
      <c r="C12" s="34">
        <v>1</v>
      </c>
      <c r="D12" s="34">
        <v>1</v>
      </c>
      <c r="E12" s="34">
        <v>1</v>
      </c>
      <c r="F12" s="34">
        <v>2</v>
      </c>
      <c r="G12" s="48"/>
      <c r="H12" s="48"/>
      <c r="I12" s="48">
        <v>12</v>
      </c>
      <c r="J12" s="48"/>
      <c r="K12" s="48">
        <f>SUM(G12:J12)</f>
        <v>12</v>
      </c>
      <c r="L12" s="48">
        <f>+((C12+D12+E12+F12)-(G12+H12+I12+J12))*-1</f>
        <v>7</v>
      </c>
      <c r="M12" s="48"/>
    </row>
    <row r="13" spans="1:13">
      <c r="A13" s="29" t="s">
        <v>87</v>
      </c>
      <c r="B13" s="34">
        <f>SUM(C13:F13)</f>
        <v>10</v>
      </c>
      <c r="C13" s="34">
        <v>2</v>
      </c>
      <c r="D13" s="34">
        <v>2</v>
      </c>
      <c r="E13" s="34">
        <v>3</v>
      </c>
      <c r="F13" s="34">
        <v>3</v>
      </c>
      <c r="G13" s="48">
        <v>2.5</v>
      </c>
      <c r="H13" s="48">
        <v>0.5</v>
      </c>
      <c r="I13" s="48">
        <v>5</v>
      </c>
      <c r="J13" s="48">
        <v>2</v>
      </c>
      <c r="K13" s="48">
        <f>SUM(G13:J13)</f>
        <v>10</v>
      </c>
      <c r="L13" s="48">
        <f>+((C13+D13+E13+F13)-(G13+H13+I13+J13))*-1</f>
        <v>0</v>
      </c>
      <c r="M13" s="48">
        <v>13</v>
      </c>
    </row>
    <row r="14" spans="1:13">
      <c r="A14" s="51" t="s">
        <v>30</v>
      </c>
      <c r="B14" s="34">
        <f>SUM(C14:F14)</f>
        <v>16</v>
      </c>
      <c r="C14" s="34">
        <v>4</v>
      </c>
      <c r="D14" s="34">
        <v>4</v>
      </c>
      <c r="E14" s="34">
        <v>4</v>
      </c>
      <c r="F14" s="34">
        <v>4</v>
      </c>
      <c r="G14" s="48">
        <v>10</v>
      </c>
      <c r="H14" s="48">
        <v>4</v>
      </c>
      <c r="I14" s="48">
        <v>3</v>
      </c>
      <c r="J14" s="48">
        <v>5</v>
      </c>
      <c r="K14" s="48">
        <f>SUM(G14:J14)</f>
        <v>22</v>
      </c>
      <c r="L14" s="48">
        <f>+((C14+D14+E14+F14)-(G14+H14+I14+J14))*-1</f>
        <v>6</v>
      </c>
      <c r="M14" s="48">
        <v>55</v>
      </c>
    </row>
    <row r="15" spans="1:13">
      <c r="A15" s="51" t="s">
        <v>31</v>
      </c>
      <c r="B15" s="34">
        <f>SUM(C15:F15)</f>
        <v>10</v>
      </c>
      <c r="C15" s="34">
        <v>2</v>
      </c>
      <c r="D15" s="34">
        <v>2</v>
      </c>
      <c r="E15" s="34">
        <v>2</v>
      </c>
      <c r="F15" s="34">
        <v>4</v>
      </c>
      <c r="G15" s="48">
        <v>1</v>
      </c>
      <c r="H15" s="48">
        <v>1</v>
      </c>
      <c r="I15" s="48"/>
      <c r="J15" s="48">
        <v>5</v>
      </c>
      <c r="K15" s="48">
        <f>SUM(G15:J15)</f>
        <v>7</v>
      </c>
      <c r="L15" s="48">
        <f>+((C15+D15+E15+F15)-(G15+H15+I15+J15))*-1</f>
        <v>-3</v>
      </c>
      <c r="M15" s="48">
        <v>8</v>
      </c>
    </row>
    <row r="16" spans="1:13">
      <c r="A16" s="51" t="s">
        <v>43</v>
      </c>
      <c r="B16" s="34">
        <f>SUM(C16:F16)</f>
        <v>10</v>
      </c>
      <c r="C16" s="34">
        <v>1</v>
      </c>
      <c r="D16" s="34">
        <v>2</v>
      </c>
      <c r="E16" s="34">
        <v>2</v>
      </c>
      <c r="F16" s="137">
        <v>5</v>
      </c>
      <c r="G16" s="48">
        <v>0</v>
      </c>
      <c r="H16" s="48">
        <v>2</v>
      </c>
      <c r="I16" s="138"/>
      <c r="J16" s="48">
        <v>1</v>
      </c>
      <c r="K16" s="48">
        <f>SUM(G16:J16)</f>
        <v>3</v>
      </c>
      <c r="L16" s="48">
        <f>+((C16+D16+E16+F16)-(G16+H16+I16+J16))*-1</f>
        <v>-7</v>
      </c>
      <c r="M16" s="48">
        <v>9</v>
      </c>
    </row>
    <row r="17" spans="1:16">
      <c r="A17" s="51" t="s">
        <v>32</v>
      </c>
      <c r="B17" s="34">
        <f>SUM(C17:F17)</f>
        <v>10</v>
      </c>
      <c r="C17" s="34">
        <v>1</v>
      </c>
      <c r="D17" s="34">
        <v>2</v>
      </c>
      <c r="E17" s="34">
        <v>3</v>
      </c>
      <c r="F17" s="34">
        <v>4</v>
      </c>
      <c r="G17" s="48">
        <v>1</v>
      </c>
      <c r="H17" s="48">
        <v>2</v>
      </c>
      <c r="I17" s="48">
        <v>1</v>
      </c>
      <c r="J17" s="48">
        <v>4.5</v>
      </c>
      <c r="K17" s="48">
        <f>SUM(G17:J17)</f>
        <v>8.5</v>
      </c>
      <c r="L17" s="48">
        <f>+((C17+D17+E17+F17)-(G17+H17+I17+J17))*-1</f>
        <v>-1.5</v>
      </c>
      <c r="M17" s="48">
        <v>38</v>
      </c>
      <c r="P17" s="139"/>
    </row>
    <row r="18" spans="1:13">
      <c r="A18" s="51" t="s">
        <v>98</v>
      </c>
      <c r="B18" s="34">
        <f>SUM(C18:F18)</f>
        <v>10</v>
      </c>
      <c r="C18" s="34">
        <v>1</v>
      </c>
      <c r="D18" s="34">
        <v>2</v>
      </c>
      <c r="E18" s="34">
        <v>3</v>
      </c>
      <c r="F18" s="34">
        <v>4</v>
      </c>
      <c r="G18" s="48"/>
      <c r="H18" s="48"/>
      <c r="I18" s="48">
        <v>2</v>
      </c>
      <c r="J18" s="48">
        <v>1</v>
      </c>
      <c r="K18" s="48">
        <f>SUM(G18:J18)</f>
        <v>3</v>
      </c>
      <c r="L18" s="48">
        <f>+((C18+D18+E18+F18)-(G18+H18+I18+J18))*-1</f>
        <v>-7</v>
      </c>
      <c r="M18" s="48">
        <v>2</v>
      </c>
    </row>
    <row r="19" spans="1:13">
      <c r="A19" s="51" t="s">
        <v>88</v>
      </c>
      <c r="B19" s="34">
        <f>SUM(C19:F19)</f>
        <v>10</v>
      </c>
      <c r="C19" s="34">
        <v>2</v>
      </c>
      <c r="D19" s="34">
        <v>2</v>
      </c>
      <c r="E19" s="34">
        <v>2</v>
      </c>
      <c r="F19" s="34">
        <v>4</v>
      </c>
      <c r="G19" s="48"/>
      <c r="H19" s="48">
        <v>2</v>
      </c>
      <c r="I19" s="48">
        <v>2</v>
      </c>
      <c r="J19" s="48">
        <v>5</v>
      </c>
      <c r="K19" s="48">
        <f>SUM(G19:J19)</f>
        <v>9</v>
      </c>
      <c r="L19" s="48">
        <f>+((C19+D19+E19+F19)-(G19+H19+I19+J19))*-1</f>
        <v>-1</v>
      </c>
      <c r="M19" s="48">
        <v>29</v>
      </c>
    </row>
    <row r="20" spans="1:13">
      <c r="A20" s="53" t="s">
        <v>33</v>
      </c>
      <c r="B20" s="34">
        <f>SUM(C20:F20)</f>
        <v>10</v>
      </c>
      <c r="C20" s="34">
        <v>1</v>
      </c>
      <c r="D20" s="34">
        <v>2</v>
      </c>
      <c r="E20" s="34">
        <v>2</v>
      </c>
      <c r="F20" s="34">
        <v>5</v>
      </c>
      <c r="G20" s="35">
        <v>1</v>
      </c>
      <c r="H20" s="35">
        <v>5</v>
      </c>
      <c r="I20" s="35">
        <v>4</v>
      </c>
      <c r="J20" s="48">
        <v>1</v>
      </c>
      <c r="K20" s="35">
        <f>SUM(G20:J20)</f>
        <v>11</v>
      </c>
      <c r="L20" s="48">
        <f>+((C20+D20+E20+F20)-(G20+H20+I20+J20))*-1</f>
        <v>1</v>
      </c>
      <c r="M20" s="35">
        <v>15</v>
      </c>
    </row>
    <row r="21" spans="1:13">
      <c r="A21" s="53" t="s">
        <v>35</v>
      </c>
      <c r="B21" s="34">
        <f>SUM(C21:F21)</f>
        <v>15</v>
      </c>
      <c r="C21" s="34">
        <v>4</v>
      </c>
      <c r="D21" s="34">
        <v>3</v>
      </c>
      <c r="E21" s="34">
        <v>4</v>
      </c>
      <c r="F21" s="34">
        <v>4</v>
      </c>
      <c r="G21" s="35"/>
      <c r="H21" s="35"/>
      <c r="I21" s="35"/>
      <c r="J21" s="35"/>
      <c r="K21" s="35">
        <f>SUM(G21:J21)</f>
        <v>0</v>
      </c>
      <c r="L21" s="48">
        <f>+((C21+D21+E21+F21)-(G21+H21+I21+J21))*-1</f>
        <v>-15</v>
      </c>
      <c r="M21" s="35">
        <v>10</v>
      </c>
    </row>
    <row r="22" spans="1:13">
      <c r="A22" s="53" t="s">
        <v>37</v>
      </c>
      <c r="B22" s="34"/>
      <c r="C22" s="34"/>
      <c r="D22" s="34"/>
      <c r="E22" s="34"/>
      <c r="F22" s="34"/>
      <c r="G22" s="35"/>
      <c r="H22" s="35"/>
      <c r="I22" s="35"/>
      <c r="J22" s="35"/>
      <c r="K22" s="35">
        <f>SUM(G22:J22)</f>
        <v>0</v>
      </c>
      <c r="L22" s="48">
        <f>+((C22+D22+E22+F22)-(G22+H22+I22+J22))*-1</f>
        <v>0</v>
      </c>
      <c r="M22" s="35"/>
    </row>
    <row r="23" spans="1:13">
      <c r="A23" s="53" t="s">
        <v>38</v>
      </c>
      <c r="B23" s="34">
        <f>SUM(C23:F23)</f>
        <v>30</v>
      </c>
      <c r="C23" s="34">
        <v>5</v>
      </c>
      <c r="D23" s="34">
        <v>7</v>
      </c>
      <c r="E23" s="34">
        <v>8</v>
      </c>
      <c r="F23" s="34">
        <v>10</v>
      </c>
      <c r="G23" s="38">
        <v>3</v>
      </c>
      <c r="H23" s="35">
        <v>6</v>
      </c>
      <c r="I23" s="35">
        <v>11</v>
      </c>
      <c r="J23" s="35">
        <v>23</v>
      </c>
      <c r="K23" s="35">
        <f>SUM(G23:J23)</f>
        <v>43</v>
      </c>
      <c r="L23" s="48">
        <f>+((C23+D23+E23+F23)-(G23+H23+I23+J23))*-1</f>
        <v>13</v>
      </c>
      <c r="M23" s="35">
        <v>28</v>
      </c>
    </row>
    <row r="24" spans="1:13">
      <c r="A24" s="54" t="s">
        <v>39</v>
      </c>
      <c r="B24" s="147">
        <f>SUM(B8:B23)</f>
        <v>190</v>
      </c>
      <c r="C24" s="147">
        <f>SUM(C8:C23)</f>
        <v>39</v>
      </c>
      <c r="D24" s="147">
        <f t="shared" ref="D24:M24" si="3">SUM(D8:D23)</f>
        <v>42</v>
      </c>
      <c r="E24" s="147">
        <f>SUM(E8:E23)</f>
        <v>50</v>
      </c>
      <c r="F24" s="147">
        <f>SUM(F8:F23)</f>
        <v>59</v>
      </c>
      <c r="G24" s="147">
        <f>SUM(G8:G23)</f>
        <v>40.5</v>
      </c>
      <c r="H24" s="147">
        <f>SUM(H8:H23)</f>
        <v>26.5</v>
      </c>
      <c r="I24" s="147">
        <f>SUM(I8:I23)</f>
        <v>53</v>
      </c>
      <c r="J24" s="147">
        <f>SUM(J8:J23)</f>
        <v>69.5</v>
      </c>
      <c r="K24" s="108">
        <f>SUM(G24:J24)</f>
        <v>189.5</v>
      </c>
      <c r="L24" s="48">
        <f>+((C24+D24+E24+F24)-(G24+H24+I24+J24))*-1</f>
        <v>-0.5</v>
      </c>
      <c r="M24" s="147">
        <f>SUM(M8:M23)</f>
        <v>304</v>
      </c>
    </row>
    <row r="25" spans="1:15">
      <c r="A25" s="148" t="s">
        <v>40</v>
      </c>
      <c r="B25" s="149"/>
      <c r="C25" s="23" t="s">
        <v>14</v>
      </c>
      <c r="D25" s="23"/>
      <c r="E25" s="23"/>
      <c r="F25" s="24"/>
      <c r="G25" s="11" t="s">
        <v>15</v>
      </c>
      <c r="H25" s="23"/>
      <c r="I25" s="23"/>
      <c r="J25" s="24"/>
      <c r="K25" s="63"/>
      <c r="L25" s="64"/>
      <c r="M25" s="107"/>
      <c r="N25" s="111"/>
      <c r="O25" s="90"/>
    </row>
    <row r="26" ht="25.5" spans="1:15">
      <c r="A26" s="25" t="s">
        <v>16</v>
      </c>
      <c r="B26" s="25" t="s">
        <v>17</v>
      </c>
      <c r="C26" s="25" t="s">
        <v>18</v>
      </c>
      <c r="D26" s="25" t="s">
        <v>122</v>
      </c>
      <c r="E26" s="25" t="s">
        <v>123</v>
      </c>
      <c r="F26" s="25" t="s">
        <v>107</v>
      </c>
      <c r="G26" s="25" t="s">
        <v>18</v>
      </c>
      <c r="H26" s="25" t="s">
        <v>122</v>
      </c>
      <c r="I26" s="25" t="s">
        <v>123</v>
      </c>
      <c r="J26" s="25" t="s">
        <v>107</v>
      </c>
      <c r="K26" s="25" t="s">
        <v>22</v>
      </c>
      <c r="L26" s="25" t="s">
        <v>41</v>
      </c>
      <c r="M26" s="25" t="s">
        <v>42</v>
      </c>
      <c r="N26" s="89"/>
      <c r="O26" s="90"/>
    </row>
    <row r="27" spans="1:15">
      <c r="A27" s="29" t="s">
        <v>25</v>
      </c>
      <c r="B27" s="48">
        <f>SUM(C27:F27)</f>
        <v>10.5</v>
      </c>
      <c r="C27" s="35">
        <v>2.2</v>
      </c>
      <c r="D27" s="34">
        <v>2.25</v>
      </c>
      <c r="E27" s="34">
        <v>2.55</v>
      </c>
      <c r="F27" s="34">
        <v>3.5</v>
      </c>
      <c r="G27" s="49">
        <f>(17350+21400+43500+47550+52150+19300)/100000</f>
        <v>2.0125</v>
      </c>
      <c r="H27" s="50">
        <f>(15950+38800+51600+27300+20500+43900+40400+12300)/100000</f>
        <v>2.5075</v>
      </c>
      <c r="I27" s="50">
        <f>(29100+22450+27950+101200+17650+29900)/100000</f>
        <v>2.2825</v>
      </c>
      <c r="J27" s="50">
        <f>(95500+36400+28100+32430+34500+28400+66510)/100000</f>
        <v>3.2184</v>
      </c>
      <c r="K27" s="50">
        <f t="shared" ref="K27:K41" si="4">SUM(G27:J27)</f>
        <v>10.0209</v>
      </c>
      <c r="L27" s="50">
        <f>+((C27+D27+E27+F27)-(G27+H27+I27+J27))*-1</f>
        <v>-0.479099999999999</v>
      </c>
      <c r="M27" s="91">
        <f>+K27/B27</f>
        <v>0.954371428571429</v>
      </c>
      <c r="N27" s="89"/>
      <c r="O27" s="90"/>
    </row>
    <row r="28" spans="1:15">
      <c r="A28" s="29" t="s">
        <v>26</v>
      </c>
      <c r="B28" s="48">
        <f t="shared" ref="B28:B41" si="5">SUM(C28:F28)</f>
        <v>11.5</v>
      </c>
      <c r="C28" s="35">
        <v>2.25</v>
      </c>
      <c r="D28" s="34">
        <v>3.25</v>
      </c>
      <c r="E28" s="34">
        <v>2.5</v>
      </c>
      <c r="F28" s="34">
        <v>3.5</v>
      </c>
      <c r="G28" s="129">
        <f>(4400+29400+53500+36000+33600+41100)/100000</f>
        <v>1.98</v>
      </c>
      <c r="H28" s="130">
        <f>(21400+29800+87700+35100+78100+50000+68600+18400)/100000</f>
        <v>3.891</v>
      </c>
      <c r="I28" s="50">
        <f>(47920+24700+77150+29000+28100+77000)/100000</f>
        <v>2.8387</v>
      </c>
      <c r="J28" s="134">
        <f>(91100+28000+28340+16400+21300+45400+13000)/100000</f>
        <v>2.4354</v>
      </c>
      <c r="K28" s="50">
        <f>SUM(G28:J28)</f>
        <v>11.1451</v>
      </c>
      <c r="L28" s="50">
        <f t="shared" ref="L28:L42" si="6">+((C28+D28+E28+F28)-(G28+H28+I28+J28))*-1</f>
        <v>-0.354900000000001</v>
      </c>
      <c r="M28" s="91">
        <f>+K28/B28</f>
        <v>0.969139130434782</v>
      </c>
      <c r="N28" s="92"/>
      <c r="O28" s="93"/>
    </row>
    <row r="29" spans="1:15">
      <c r="A29" s="29" t="s">
        <v>27</v>
      </c>
      <c r="B29" s="48">
        <f>SUM(C29:F29)</f>
        <v>8.75</v>
      </c>
      <c r="C29" s="34">
        <v>1.5</v>
      </c>
      <c r="D29" s="34">
        <v>2.25</v>
      </c>
      <c r="E29" s="34">
        <v>2</v>
      </c>
      <c r="F29" s="34">
        <v>3</v>
      </c>
      <c r="G29" s="129">
        <f>(8500+14300+17100+47500+29100)/100000</f>
        <v>1.165</v>
      </c>
      <c r="H29" s="50">
        <f>(24300+42500+44220+24600+9500+16700+180100)/100000</f>
        <v>3.4192</v>
      </c>
      <c r="I29" s="50">
        <f>(14600+22800+30800+59625+62000+19200)/100000</f>
        <v>2.09025</v>
      </c>
      <c r="J29" s="134">
        <f>(127655+21300+17000+24300+13300+86600+23820)/100000</f>
        <v>3.13975</v>
      </c>
      <c r="K29" s="50">
        <f>SUM(G29:J29)</f>
        <v>9.8142</v>
      </c>
      <c r="L29" s="50">
        <f>+((C29+D29+E29+F29)-(G29+H29+I29+J29))*-1</f>
        <v>1.0642</v>
      </c>
      <c r="M29" s="91">
        <f t="shared" ref="M29:M42" si="7">+K29/B29</f>
        <v>1.12162285714286</v>
      </c>
      <c r="N29" s="92"/>
      <c r="O29" s="93"/>
    </row>
    <row r="30" spans="1:15">
      <c r="A30" s="29" t="s">
        <v>28</v>
      </c>
      <c r="B30" s="48">
        <f>SUM(C30:F30)</f>
        <v>8</v>
      </c>
      <c r="C30" s="34">
        <v>1.5</v>
      </c>
      <c r="D30" s="34">
        <v>2</v>
      </c>
      <c r="E30" s="34">
        <v>2</v>
      </c>
      <c r="F30" s="34">
        <v>2.5</v>
      </c>
      <c r="G30" s="129">
        <f>(12600+12700+17890+19700+35200+17900)/100000</f>
        <v>1.1599</v>
      </c>
      <c r="H30" s="140">
        <f>(62500+13700+35186+24000+16600+51745+13000+14200)/100000</f>
        <v>2.30931</v>
      </c>
      <c r="I30" s="50">
        <f>(22235+25900+20800+22900+25145+13000)/100000</f>
        <v>1.2998</v>
      </c>
      <c r="J30" s="134">
        <f>(41200+40910+21630+12600+31500+56000+12650)/100000</f>
        <v>2.1649</v>
      </c>
      <c r="K30" s="50">
        <f>SUM(G30:J30)</f>
        <v>6.93391</v>
      </c>
      <c r="L30" s="50">
        <f>+((C30+D30+E30+F30)-(G30+H30+I30+J30))*-1</f>
        <v>-1.06609</v>
      </c>
      <c r="M30" s="91">
        <f>+K30/B30</f>
        <v>0.86673875</v>
      </c>
      <c r="N30" s="92"/>
      <c r="O30" s="93"/>
    </row>
    <row r="31" spans="1:15">
      <c r="A31" s="29" t="s">
        <v>29</v>
      </c>
      <c r="B31" s="48">
        <f>SUM(C31:F31)</f>
        <v>2.75</v>
      </c>
      <c r="C31" s="34">
        <v>0.45</v>
      </c>
      <c r="D31" s="34">
        <v>0.8</v>
      </c>
      <c r="E31" s="34">
        <v>0.5</v>
      </c>
      <c r="F31" s="34">
        <v>1</v>
      </c>
      <c r="G31" s="129">
        <f>(11300)/100000</f>
        <v>0.113</v>
      </c>
      <c r="H31" s="50">
        <f>(51900+13200)/100000</f>
        <v>0.651</v>
      </c>
      <c r="I31" s="50">
        <f>(52800+2300+14400)/100000</f>
        <v>0.695</v>
      </c>
      <c r="J31" s="134">
        <f>(15000+17000+46200)/100000</f>
        <v>0.782</v>
      </c>
      <c r="K31" s="50">
        <f>SUM(G31:J31)</f>
        <v>2.241</v>
      </c>
      <c r="L31" s="50">
        <f>+((C31+D31+E31+F31)-(G31+H31+I31+J31))*-1</f>
        <v>-0.509</v>
      </c>
      <c r="M31" s="91">
        <f>+K31/B31</f>
        <v>0.814909090909091</v>
      </c>
      <c r="N31" s="92"/>
      <c r="O31" s="93"/>
    </row>
    <row r="32" spans="1:15">
      <c r="A32" s="29" t="s">
        <v>87</v>
      </c>
      <c r="B32" s="48">
        <f>SUM(C32:F32)</f>
        <v>2</v>
      </c>
      <c r="C32" s="34">
        <v>0.5</v>
      </c>
      <c r="D32" s="34">
        <v>0.5</v>
      </c>
      <c r="E32" s="34">
        <v>0.5</v>
      </c>
      <c r="F32" s="34">
        <v>0.5</v>
      </c>
      <c r="G32" s="129">
        <f>(2500+4100+16200+15500+7200+13000)/100000</f>
        <v>0.585</v>
      </c>
      <c r="H32" s="50">
        <f>(6800+10600+13700+7000+7000+10700+13300+18750)/100000</f>
        <v>0.8785</v>
      </c>
      <c r="I32" s="50">
        <f>(7200+27100+9500+5400+3600)/100000</f>
        <v>0.528</v>
      </c>
      <c r="J32" s="134">
        <f>(3800+13900+3500+2300+22400+6400+4500)/100000</f>
        <v>0.568</v>
      </c>
      <c r="K32" s="50">
        <f>SUM(G32:J32)</f>
        <v>2.5595</v>
      </c>
      <c r="L32" s="50">
        <f>+((C32+D32+E32+F32)-(G32+H32+I32+J32))*-1</f>
        <v>0.5595</v>
      </c>
      <c r="M32" s="91">
        <f>+K32/B32</f>
        <v>1.27975</v>
      </c>
      <c r="N32" s="92"/>
      <c r="O32" s="93"/>
    </row>
    <row r="33" spans="1:15">
      <c r="A33" s="51" t="s">
        <v>30</v>
      </c>
      <c r="B33" s="48">
        <f>SUM(C33:F33)</f>
        <v>9</v>
      </c>
      <c r="C33" s="35">
        <v>2</v>
      </c>
      <c r="D33" s="52">
        <v>2</v>
      </c>
      <c r="E33" s="52">
        <v>2</v>
      </c>
      <c r="F33" s="52">
        <v>3</v>
      </c>
      <c r="G33" s="129">
        <f>(4700+14900+1000+43700+112200)/100000</f>
        <v>1.765</v>
      </c>
      <c r="H33" s="50">
        <f>(30900+14800+12000+1500+49400+89000)/100000</f>
        <v>1.976</v>
      </c>
      <c r="I33" s="50">
        <f>(12400+14200+50900+16000+2000+21000)/100000</f>
        <v>1.165</v>
      </c>
      <c r="J33" s="134">
        <f>(88400+56000+6000+93600+10000+72000)/100000</f>
        <v>3.26</v>
      </c>
      <c r="K33" s="50">
        <f>SUM(G33:J33)</f>
        <v>8.166</v>
      </c>
      <c r="L33" s="50">
        <f>+((C33+D33+E33+F33)-(G33+H33+I33+J33))*-1</f>
        <v>-0.834</v>
      </c>
      <c r="M33" s="91">
        <f>+K33/B33</f>
        <v>0.907333333333333</v>
      </c>
      <c r="N33" s="94"/>
      <c r="O33" s="95"/>
    </row>
    <row r="34" spans="1:15">
      <c r="A34" s="51" t="s">
        <v>31</v>
      </c>
      <c r="B34" s="48">
        <f>SUM(C34:F34)</f>
        <v>4.75</v>
      </c>
      <c r="C34" s="35">
        <v>1</v>
      </c>
      <c r="D34" s="52">
        <v>1.25</v>
      </c>
      <c r="E34" s="52">
        <v>1</v>
      </c>
      <c r="F34" s="52">
        <v>1.5</v>
      </c>
      <c r="G34" s="129">
        <f>(13200+18300+12400+21700+24600+10300)/100000</f>
        <v>1.005</v>
      </c>
      <c r="H34" s="50">
        <f>(14900+11500+30500+20900+13700+11600+11400+13100)/100000</f>
        <v>1.276</v>
      </c>
      <c r="I34" s="50">
        <f>(10500+18100+14100+34500+13100+23900)/100000</f>
        <v>1.142</v>
      </c>
      <c r="J34" s="134">
        <f>(17100+23600+14700+12300+11700+11300+13600)/100000</f>
        <v>1.043</v>
      </c>
      <c r="K34" s="50">
        <f>SUM(G34:J34)</f>
        <v>4.466</v>
      </c>
      <c r="L34" s="50">
        <f>+((C34+D34+E34+F34)-(G34+H34+I34+J34))*-1</f>
        <v>-0.284000000000001</v>
      </c>
      <c r="M34" s="91">
        <f>+K34/B34</f>
        <v>0.940210526315789</v>
      </c>
      <c r="N34" s="92"/>
      <c r="O34" s="93"/>
    </row>
    <row r="35" spans="1:15">
      <c r="A35" s="51" t="s">
        <v>32</v>
      </c>
      <c r="B35" s="48">
        <f>SUM(C35:F35)</f>
        <v>7.5</v>
      </c>
      <c r="C35" s="35">
        <v>1.5</v>
      </c>
      <c r="D35" s="52">
        <v>2</v>
      </c>
      <c r="E35" s="52">
        <v>1.5</v>
      </c>
      <c r="F35" s="52">
        <v>2.5</v>
      </c>
      <c r="G35" s="129">
        <f>(20900+15700+20170+44200+17700+43850)/100000</f>
        <v>1.6252</v>
      </c>
      <c r="H35" s="50">
        <f>(27100+23300+33000+18800+35600+18500+20180+20650)/100000</f>
        <v>1.9713</v>
      </c>
      <c r="I35" s="50">
        <f>(15900+22415+17800+29600+11400+42200)/100000</f>
        <v>1.39315</v>
      </c>
      <c r="J35" s="134">
        <f>(20700+48750+19800+17500+39700+25300+43910)/100000</f>
        <v>2.1566</v>
      </c>
      <c r="K35" s="50">
        <f>SUM(G35:J35)</f>
        <v>7.14625</v>
      </c>
      <c r="L35" s="50">
        <f>+((C35+D35+E35+F35)-(G35+H35+I35+J35))*-1</f>
        <v>-0.35375</v>
      </c>
      <c r="M35" s="91">
        <f>+K35/B35</f>
        <v>0.952833333333333</v>
      </c>
      <c r="N35" s="92"/>
      <c r="O35" s="93"/>
    </row>
    <row r="36" spans="1:15">
      <c r="A36" s="51" t="s">
        <v>98</v>
      </c>
      <c r="B36" s="48">
        <f>SUM(C36:F36)</f>
        <v>5</v>
      </c>
      <c r="C36" s="35">
        <v>1.2</v>
      </c>
      <c r="D36" s="52">
        <v>1.1</v>
      </c>
      <c r="E36" s="52">
        <v>1.2</v>
      </c>
      <c r="F36" s="52">
        <v>1.5</v>
      </c>
      <c r="G36" s="129">
        <f>(14900+9900+23445+8500+25400+17370)/100000</f>
        <v>0.99515</v>
      </c>
      <c r="H36" s="50">
        <f>(63940+17500+39400+8260+21100+11500+28200+14000)/100000</f>
        <v>2.039</v>
      </c>
      <c r="I36" s="50">
        <f>(14540+12400+25200+20700+21300+11900)/100000</f>
        <v>1.0604</v>
      </c>
      <c r="J36" s="134">
        <f>(9200+18000+29040+12500+17000+16000+38950)/100000</f>
        <v>1.4069</v>
      </c>
      <c r="K36" s="50">
        <f>SUM(G36:J36)</f>
        <v>5.50145</v>
      </c>
      <c r="L36" s="50">
        <f>+((C36+D36+E36+F36)-(G36+H36+I36+J36))*-1</f>
        <v>0.50145</v>
      </c>
      <c r="M36" s="91">
        <f>+K36/B36</f>
        <v>1.10029</v>
      </c>
      <c r="N36" s="92"/>
      <c r="O36" s="93"/>
    </row>
    <row r="37" spans="1:15">
      <c r="A37" s="51" t="s">
        <v>43</v>
      </c>
      <c r="B37" s="48">
        <f>SUM(C37:F37)</f>
        <v>8.25</v>
      </c>
      <c r="C37" s="35">
        <v>1.5</v>
      </c>
      <c r="D37" s="52">
        <v>2.25</v>
      </c>
      <c r="E37" s="52">
        <v>2</v>
      </c>
      <c r="F37" s="52">
        <v>2.5</v>
      </c>
      <c r="G37" s="129">
        <f>(8500+24500+22600+31550+11600+10500)/100000</f>
        <v>1.0925</v>
      </c>
      <c r="H37" s="50">
        <f>(15050+39400+46300+43000+11200+14600+81250+12200)/100000</f>
        <v>2.63</v>
      </c>
      <c r="I37" s="50">
        <f>(23100+23300+12500+20100+23600+12850)/100000</f>
        <v>1.1545</v>
      </c>
      <c r="J37" s="134">
        <f>(58600+15100+37200+14900+3300+24800+25000)/100000</f>
        <v>1.789</v>
      </c>
      <c r="K37" s="50">
        <f>SUM(G37:J37)</f>
        <v>6.666</v>
      </c>
      <c r="L37" s="50">
        <f>+((C37+D37+E37+F37)-(G37+H37+I37+J37))*-1</f>
        <v>-1.584</v>
      </c>
      <c r="M37" s="91">
        <f>+K37/B37</f>
        <v>0.808</v>
      </c>
      <c r="N37" s="92"/>
      <c r="O37" s="93"/>
    </row>
    <row r="38" spans="1:15">
      <c r="A38" s="51" t="s">
        <v>88</v>
      </c>
      <c r="B38" s="48">
        <f ca="1">SUM(C38:D38:E38:F38)</f>
        <v>4.5</v>
      </c>
      <c r="C38" s="35">
        <v>1</v>
      </c>
      <c r="D38" s="52">
        <v>1</v>
      </c>
      <c r="E38" s="52">
        <v>1.25</v>
      </c>
      <c r="F38" s="52">
        <v>1.25</v>
      </c>
      <c r="G38" s="129">
        <f>(11500+11100+14700+34500+17900+21900)/100000</f>
        <v>1.116</v>
      </c>
      <c r="H38" s="50">
        <f>(17700+15000+16300+13350+10700+16000+14100+12900)/100000</f>
        <v>1.1605</v>
      </c>
      <c r="I38" s="50">
        <f>(16200+23300+20750+18150+13200+12000)/100000</f>
        <v>1.036</v>
      </c>
      <c r="J38" s="134">
        <f>(18000+15900+16500+14600+17700+25700+17000)/100000</f>
        <v>1.254</v>
      </c>
      <c r="K38" s="50">
        <f>SUM(G38:J38)</f>
        <v>4.5665</v>
      </c>
      <c r="L38" s="50">
        <f>+((C38+D38+E38+F38)-(G38+H38+I38+J38))*-1</f>
        <v>0.0665000000000005</v>
      </c>
      <c r="M38" s="91">
        <f ca="1">+K38/B38</f>
        <v>1.01477777777778</v>
      </c>
      <c r="N38" s="92"/>
      <c r="O38" s="93"/>
    </row>
    <row r="39" spans="1:15">
      <c r="A39" s="53" t="s">
        <v>37</v>
      </c>
      <c r="B39" s="48">
        <f>SUM(C39:F39)</f>
        <v>0.7</v>
      </c>
      <c r="C39" s="35">
        <v>0.1</v>
      </c>
      <c r="D39" s="52">
        <v>0.1</v>
      </c>
      <c r="E39" s="52">
        <v>0.25</v>
      </c>
      <c r="F39" s="52">
        <v>0.25</v>
      </c>
      <c r="G39" s="129">
        <f>(17600)/100000</f>
        <v>0.176</v>
      </c>
      <c r="H39" s="50"/>
      <c r="I39" s="50"/>
      <c r="J39" s="134">
        <f>(15400+8800)/100000</f>
        <v>0.242</v>
      </c>
      <c r="K39" s="50">
        <f>SUM(G39:J39)</f>
        <v>0.418</v>
      </c>
      <c r="L39" s="50">
        <f>+((C39+D39+E39+F39)-(G39+H39+I39+J39))*-1</f>
        <v>-0.282</v>
      </c>
      <c r="M39" s="91">
        <f>+K39/B39</f>
        <v>0.597142857142857</v>
      </c>
      <c r="N39" s="92"/>
      <c r="O39" s="93"/>
    </row>
    <row r="40" spans="1:15">
      <c r="A40" s="53" t="s">
        <v>35</v>
      </c>
      <c r="B40" s="48">
        <f>SUM(C40:F40)</f>
        <v>5</v>
      </c>
      <c r="C40" s="35">
        <v>1</v>
      </c>
      <c r="D40" s="52">
        <v>1</v>
      </c>
      <c r="E40" s="52">
        <v>1.5</v>
      </c>
      <c r="F40" s="52">
        <v>1.5</v>
      </c>
      <c r="G40" s="129">
        <f>(145200)/100000</f>
        <v>1.452</v>
      </c>
      <c r="H40" s="50">
        <f>(13275+44000+13215)/100000</f>
        <v>0.7049</v>
      </c>
      <c r="I40" s="50"/>
      <c r="J40" s="134">
        <f>(158910+13275)/100000</f>
        <v>1.72185</v>
      </c>
      <c r="K40" s="50">
        <f>SUM(G40:J40)</f>
        <v>3.87875</v>
      </c>
      <c r="L40" s="50">
        <f>+((C40+D40+E40+F40)-(G40+H40+I40+J40))*-1</f>
        <v>-1.12125</v>
      </c>
      <c r="M40" s="91">
        <f>+K40/B40</f>
        <v>0.77575</v>
      </c>
      <c r="N40" s="92"/>
      <c r="O40" s="93"/>
    </row>
    <row r="41" spans="1:15">
      <c r="A41" s="53" t="s">
        <v>38</v>
      </c>
      <c r="B41" s="48">
        <f>SUM(C41:F41)</f>
        <v>14.8</v>
      </c>
      <c r="C41" s="35">
        <v>2.5</v>
      </c>
      <c r="D41" s="52">
        <v>3</v>
      </c>
      <c r="E41" s="52">
        <v>4</v>
      </c>
      <c r="F41" s="52">
        <v>5.3</v>
      </c>
      <c r="G41" s="129">
        <f>(56200+21730+6630+34500+63105+28810)/100000</f>
        <v>2.10975</v>
      </c>
      <c r="H41" s="50">
        <f>(29280+40800+33350+45045+15440+154000+33365+14640)/100000</f>
        <v>3.6592</v>
      </c>
      <c r="I41" s="50">
        <f>(53410+22290+111415+169701+102540+16094)/100000</f>
        <v>4.7545</v>
      </c>
      <c r="J41" s="134">
        <f>(34795+158600+23760+132800+41745+110150+22300)/100000</f>
        <v>5.2415</v>
      </c>
      <c r="K41" s="50">
        <f>SUM(G41:J41)</f>
        <v>15.76495</v>
      </c>
      <c r="L41" s="50">
        <f>+((C41+D41+E41+F41)-(G41+H41+I41+J41))*-1</f>
        <v>0.96495</v>
      </c>
      <c r="M41" s="91">
        <f>+K41/B41</f>
        <v>1.06519932432432</v>
      </c>
      <c r="N41" s="92"/>
      <c r="O41" s="93"/>
    </row>
    <row r="42" spans="1:15">
      <c r="A42" s="54" t="s">
        <v>44</v>
      </c>
      <c r="B42" s="48">
        <f ca="1" t="shared" ref="B42:K42" si="8">SUM(B27:B41)</f>
        <v>103</v>
      </c>
      <c r="C42" s="35">
        <f>SUM(C27:C41)</f>
        <v>20.2</v>
      </c>
      <c r="D42" s="48">
        <f>SUM(D27:D41)</f>
        <v>24.75</v>
      </c>
      <c r="E42" s="48">
        <f>SUM(E27:E41)</f>
        <v>24.75</v>
      </c>
      <c r="F42" s="48">
        <f>SUM(F27:F41)</f>
        <v>33.3</v>
      </c>
      <c r="G42" s="131">
        <f>SUM(G27:G41)</f>
        <v>18.352</v>
      </c>
      <c r="H42" s="50">
        <f>SUM(H27:H41)</f>
        <v>29.07341</v>
      </c>
      <c r="I42" s="50">
        <f>SUM(I27:I41)</f>
        <v>21.4398</v>
      </c>
      <c r="J42" s="134">
        <f>SUM(J27:J41)</f>
        <v>30.4233</v>
      </c>
      <c r="K42" s="135">
        <f>SUM(K27:K41)</f>
        <v>99.28851</v>
      </c>
      <c r="L42" s="50">
        <f>+((C42+D42+E42+F42)-(G42+H42+I42+J42))*-1</f>
        <v>-3.71149</v>
      </c>
      <c r="M42" s="154">
        <f ca="1">+K42/B42</f>
        <v>0.963966116504855</v>
      </c>
      <c r="N42" s="92"/>
      <c r="O42" s="93"/>
    </row>
    <row r="43" spans="1:15">
      <c r="A43" s="55"/>
      <c r="B43" s="56"/>
      <c r="C43" s="57"/>
      <c r="N43" s="94"/>
      <c r="O43" s="95"/>
    </row>
    <row r="44" spans="14:15">
      <c r="N44" s="92"/>
      <c r="O44" s="93"/>
    </row>
    <row r="45" spans="14:15">
      <c r="N45" s="92"/>
      <c r="O45" s="93"/>
    </row>
    <row r="46" spans="14:15">
      <c r="N46" s="92"/>
      <c r="O46" s="93"/>
    </row>
    <row r="47" spans="14:15">
      <c r="N47" s="92"/>
      <c r="O47" s="93"/>
    </row>
    <row r="48" spans="14:15">
      <c r="N48" s="92"/>
      <c r="O48" s="93"/>
    </row>
    <row r="49" spans="14:15">
      <c r="N49" s="92"/>
      <c r="O49" s="93"/>
    </row>
    <row r="50" spans="14:15">
      <c r="N50" s="92"/>
      <c r="O50" s="93"/>
    </row>
    <row r="51" spans="14:15">
      <c r="N51" s="92"/>
      <c r="O51" s="93"/>
    </row>
    <row r="52" spans="14:15">
      <c r="N52" s="92"/>
      <c r="O52" s="93"/>
    </row>
    <row r="53" spans="14:15">
      <c r="N53" s="94"/>
      <c r="O53" s="95"/>
    </row>
    <row r="54" spans="14:15">
      <c r="N54" s="92"/>
      <c r="O54" s="93"/>
    </row>
    <row r="55" spans="14:15">
      <c r="N55" s="92"/>
      <c r="O55" s="93"/>
    </row>
    <row r="56" spans="14:15">
      <c r="N56" s="92"/>
      <c r="O56" s="93"/>
    </row>
    <row r="57" spans="14:15">
      <c r="N57" s="92"/>
      <c r="O57" s="93"/>
    </row>
    <row r="58" spans="14:15">
      <c r="N58" s="92"/>
      <c r="O58" s="93"/>
    </row>
    <row r="59" spans="14:15">
      <c r="N59" s="92"/>
      <c r="O59" s="93"/>
    </row>
    <row r="60" spans="14:15">
      <c r="N60" s="92"/>
      <c r="O60" s="93"/>
    </row>
    <row r="61" spans="14:15">
      <c r="N61" s="94"/>
      <c r="O61" s="95"/>
    </row>
    <row r="62" spans="14:15">
      <c r="N62" s="92"/>
      <c r="O62" s="93"/>
    </row>
    <row r="63" spans="14:15">
      <c r="N63" s="92"/>
      <c r="O63" s="93"/>
    </row>
    <row r="64" spans="14:15">
      <c r="N64" s="92"/>
      <c r="O64" s="93"/>
    </row>
    <row r="65" spans="14:15">
      <c r="N65" s="92"/>
      <c r="O65" s="93"/>
    </row>
    <row r="66" spans="14:15">
      <c r="N66" s="92"/>
      <c r="O66" s="93"/>
    </row>
    <row r="67" spans="14:15">
      <c r="N67" s="92"/>
      <c r="O67" s="93"/>
    </row>
    <row r="68" spans="14:15">
      <c r="N68" s="92"/>
      <c r="O68" s="93"/>
    </row>
    <row r="69" spans="14:15">
      <c r="N69" s="92"/>
      <c r="O69" s="96"/>
    </row>
  </sheetData>
  <mergeCells count="6">
    <mergeCell ref="B1:M1"/>
    <mergeCell ref="D5:F5"/>
    <mergeCell ref="C6:F6"/>
    <mergeCell ref="G6:J6"/>
    <mergeCell ref="C25:F25"/>
    <mergeCell ref="G25:J25"/>
  </mergeCells>
  <pageMargins left="0.708333333333333" right="0.708333333333333" top="0.747916666666667" bottom="0.747916666666667" header="0.314583333333333" footer="0.314583333333333"/>
  <pageSetup paperSize="9" scale="75" orientation="landscape" verticalDpi="180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68"/>
  <sheetViews>
    <sheetView topLeftCell="A27" workbookViewId="0">
      <selection activeCell="A1" sqref="A1:M41"/>
    </sheetView>
  </sheetViews>
  <sheetFormatPr defaultColWidth="9" defaultRowHeight="15"/>
  <cols>
    <col min="1" max="1" width="18.8571428571429" style="1" customWidth="1"/>
    <col min="2" max="2" width="10.1428571428571" style="2" customWidth="1"/>
    <col min="3" max="3" width="9.42857142857143" style="1" customWidth="1"/>
    <col min="4" max="5" width="9.71428571428571" style="1" customWidth="1"/>
    <col min="6" max="6" width="10.2857142857143" style="1" customWidth="1"/>
    <col min="7" max="7" width="10.1428571428571" style="1" customWidth="1"/>
    <col min="8" max="8" width="10.2857142857143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spans="1:13">
      <c r="A1" s="125" t="s">
        <v>125</v>
      </c>
      <c r="B1" s="119" t="s">
        <v>126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spans="1:13">
      <c r="A2" s="6" t="s">
        <v>2</v>
      </c>
      <c r="B2" s="7">
        <f>+K23</f>
        <v>213</v>
      </c>
      <c r="C2" s="8"/>
      <c r="D2" s="8"/>
      <c r="E2" s="8"/>
      <c r="F2" s="8"/>
      <c r="G2" s="8"/>
      <c r="H2" s="8"/>
      <c r="I2" s="8"/>
      <c r="J2" s="8"/>
      <c r="K2" s="8"/>
      <c r="L2" s="8"/>
      <c r="M2" s="104"/>
    </row>
    <row r="3" spans="1:13">
      <c r="A3" s="6" t="s">
        <v>3</v>
      </c>
      <c r="B3" s="7">
        <f>+M23</f>
        <v>520</v>
      </c>
      <c r="C3" s="8"/>
      <c r="D3" s="8"/>
      <c r="E3" s="8"/>
      <c r="F3" s="8"/>
      <c r="G3" s="8"/>
      <c r="H3" s="8"/>
      <c r="I3" s="8"/>
      <c r="J3" s="8"/>
      <c r="K3" s="8"/>
      <c r="L3" s="8"/>
      <c r="M3" s="104"/>
    </row>
    <row r="4" spans="1:13">
      <c r="A4" s="6" t="s">
        <v>127</v>
      </c>
      <c r="B4" s="11"/>
      <c r="C4" s="12"/>
      <c r="D4" s="13" t="s">
        <v>5</v>
      </c>
      <c r="E4" s="12">
        <v>7.5</v>
      </c>
      <c r="F4" s="12"/>
      <c r="G4" s="14" t="s">
        <v>78</v>
      </c>
      <c r="H4" s="155"/>
      <c r="I4" s="12" t="s">
        <v>7</v>
      </c>
      <c r="J4" s="13">
        <f>+K41</f>
        <v>106.45339</v>
      </c>
      <c r="K4" s="12" t="s">
        <v>8</v>
      </c>
      <c r="L4" s="12" t="s">
        <v>128</v>
      </c>
      <c r="M4" s="106"/>
    </row>
    <row r="5" spans="1:13">
      <c r="A5" s="16" t="s">
        <v>10</v>
      </c>
      <c r="B5" s="17" t="s">
        <v>129</v>
      </c>
      <c r="C5" s="18" t="s">
        <v>72</v>
      </c>
      <c r="D5" s="19">
        <v>9531000</v>
      </c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5.5" spans="1:13">
      <c r="A7" s="25" t="s">
        <v>16</v>
      </c>
      <c r="B7" s="25" t="s">
        <v>17</v>
      </c>
      <c r="C7" s="25" t="s">
        <v>18</v>
      </c>
      <c r="D7" s="25" t="s">
        <v>122</v>
      </c>
      <c r="E7" s="25" t="s">
        <v>123</v>
      </c>
      <c r="F7" s="25" t="s">
        <v>130</v>
      </c>
      <c r="G7" s="25" t="s">
        <v>18</v>
      </c>
      <c r="H7" s="25" t="s">
        <v>122</v>
      </c>
      <c r="I7" s="25" t="s">
        <v>124</v>
      </c>
      <c r="J7" s="25" t="s">
        <v>131</v>
      </c>
      <c r="K7" s="25" t="s">
        <v>22</v>
      </c>
      <c r="L7" s="25" t="s">
        <v>23</v>
      </c>
      <c r="M7" s="25" t="s">
        <v>24</v>
      </c>
    </row>
    <row r="8" spans="1:13">
      <c r="A8" s="29" t="s">
        <v>25</v>
      </c>
      <c r="B8" s="34">
        <f>SUM(C8:F8)</f>
        <v>20</v>
      </c>
      <c r="C8" s="34">
        <v>5</v>
      </c>
      <c r="D8" s="34">
        <v>5</v>
      </c>
      <c r="E8" s="34">
        <v>5</v>
      </c>
      <c r="F8" s="34">
        <v>5</v>
      </c>
      <c r="G8" s="48"/>
      <c r="H8" s="48"/>
      <c r="I8" s="48">
        <v>1</v>
      </c>
      <c r="J8" s="48">
        <v>1</v>
      </c>
      <c r="K8" s="48">
        <f t="shared" ref="K8:K23" si="0">SUM(G8:J8)</f>
        <v>2</v>
      </c>
      <c r="L8" s="48"/>
      <c r="M8" s="48">
        <v>30</v>
      </c>
    </row>
    <row r="9" spans="1:13">
      <c r="A9" s="29" t="s">
        <v>26</v>
      </c>
      <c r="B9" s="34">
        <f t="shared" ref="B9:B20" si="1">SUM(C9:F9)</f>
        <v>20</v>
      </c>
      <c r="C9" s="34">
        <v>7</v>
      </c>
      <c r="D9" s="34">
        <v>7</v>
      </c>
      <c r="E9" s="34">
        <v>3</v>
      </c>
      <c r="F9" s="34">
        <v>3</v>
      </c>
      <c r="G9" s="48"/>
      <c r="H9" s="48">
        <v>12</v>
      </c>
      <c r="I9" s="48">
        <v>2</v>
      </c>
      <c r="J9" s="48">
        <v>2</v>
      </c>
      <c r="K9" s="48">
        <f>SUM(G9:J9)</f>
        <v>16</v>
      </c>
      <c r="L9" s="48">
        <f t="shared" ref="L9:L23" si="2">+((C9+D9+E9+F9)-(G9+H9+I9+J9))*-1</f>
        <v>-4</v>
      </c>
      <c r="M9" s="48">
        <v>52</v>
      </c>
    </row>
    <row r="10" spans="1:17">
      <c r="A10" s="29" t="s">
        <v>27</v>
      </c>
      <c r="B10" s="34">
        <f>SUM(C10:F10)</f>
        <v>15</v>
      </c>
      <c r="C10" s="34">
        <v>4</v>
      </c>
      <c r="D10" s="34">
        <v>3</v>
      </c>
      <c r="E10" s="34">
        <v>5</v>
      </c>
      <c r="F10" s="34">
        <v>3</v>
      </c>
      <c r="G10" s="48"/>
      <c r="H10" s="48"/>
      <c r="I10" s="48">
        <v>10</v>
      </c>
      <c r="J10" s="48"/>
      <c r="K10" s="48">
        <f>SUM(G10:J10)</f>
        <v>10</v>
      </c>
      <c r="L10" s="48">
        <f>+((C10+D10+E10+F10)-(G10+H10+I10+J10))*-1</f>
        <v>-5</v>
      </c>
      <c r="M10" s="48">
        <v>93</v>
      </c>
      <c r="Q10"/>
    </row>
    <row r="11" spans="1:13">
      <c r="A11" s="29" t="s">
        <v>28</v>
      </c>
      <c r="B11" s="34">
        <f>SUM(C11:F11)</f>
        <v>15</v>
      </c>
      <c r="C11" s="34">
        <v>3</v>
      </c>
      <c r="D11" s="34">
        <v>5</v>
      </c>
      <c r="E11" s="34">
        <v>4</v>
      </c>
      <c r="F11" s="34">
        <v>3</v>
      </c>
      <c r="G11" s="48"/>
      <c r="H11" s="48">
        <v>1</v>
      </c>
      <c r="I11" s="48">
        <v>10</v>
      </c>
      <c r="J11" s="48">
        <v>3</v>
      </c>
      <c r="K11" s="48">
        <f>SUM(G11:J11)</f>
        <v>14</v>
      </c>
      <c r="L11" s="48">
        <f>+((C11+D11+E11+F11)-(G11+H11+I11+J11))*-1</f>
        <v>-1</v>
      </c>
      <c r="M11" s="48">
        <v>59</v>
      </c>
    </row>
    <row r="12" spans="1:13">
      <c r="A12" s="29" t="s">
        <v>29</v>
      </c>
      <c r="B12" s="34">
        <f>SUM(C12:F12)</f>
        <v>10</v>
      </c>
      <c r="C12" s="34">
        <v>2</v>
      </c>
      <c r="D12" s="34">
        <v>3</v>
      </c>
      <c r="E12" s="34">
        <v>3</v>
      </c>
      <c r="F12" s="34">
        <v>2</v>
      </c>
      <c r="G12" s="48"/>
      <c r="H12" s="48"/>
      <c r="I12" s="48"/>
      <c r="J12" s="48">
        <v>1.5</v>
      </c>
      <c r="K12" s="48">
        <f>SUM(G12:J12)</f>
        <v>1.5</v>
      </c>
      <c r="L12" s="48">
        <f>+((C12+D12+E12+F12)-(G12+H12+I12+J12))*-1</f>
        <v>-8.5</v>
      </c>
      <c r="M12" s="48">
        <v>0</v>
      </c>
    </row>
    <row r="13" spans="1:13">
      <c r="A13" s="29" t="s">
        <v>87</v>
      </c>
      <c r="B13" s="34">
        <f>SUM(C13:F13)</f>
        <v>10</v>
      </c>
      <c r="C13" s="34">
        <v>2</v>
      </c>
      <c r="D13" s="34">
        <v>2</v>
      </c>
      <c r="E13" s="34">
        <v>3</v>
      </c>
      <c r="F13" s="34">
        <v>3</v>
      </c>
      <c r="G13" s="48">
        <v>4.5</v>
      </c>
      <c r="H13" s="48">
        <v>1</v>
      </c>
      <c r="I13" s="48">
        <v>6</v>
      </c>
      <c r="J13" s="48">
        <v>1</v>
      </c>
      <c r="K13" s="48">
        <f>SUM(G13:J13)</f>
        <v>12.5</v>
      </c>
      <c r="L13" s="48">
        <f>+((C13+D13+E13+F13)-(G13+H13+I13+J13))*-1</f>
        <v>2.5</v>
      </c>
      <c r="M13" s="48">
        <v>38</v>
      </c>
    </row>
    <row r="14" spans="1:13">
      <c r="A14" s="51" t="s">
        <v>30</v>
      </c>
      <c r="B14" s="34">
        <f>SUM(C14:F14)</f>
        <v>20</v>
      </c>
      <c r="C14" s="34">
        <v>7</v>
      </c>
      <c r="D14" s="34">
        <v>4</v>
      </c>
      <c r="E14" s="34">
        <v>4</v>
      </c>
      <c r="F14" s="34">
        <v>5</v>
      </c>
      <c r="G14" s="48">
        <v>18.5</v>
      </c>
      <c r="H14" s="48"/>
      <c r="I14" s="48"/>
      <c r="J14" s="48"/>
      <c r="K14" s="48">
        <f>SUM(G14:J14)</f>
        <v>18.5</v>
      </c>
      <c r="L14" s="48">
        <f>+((C14+D14+E14+F14)-(G14+H14+I14+J14))*-1</f>
        <v>-1.5</v>
      </c>
      <c r="M14" s="48">
        <v>67</v>
      </c>
    </row>
    <row r="15" spans="1:13">
      <c r="A15" s="51" t="s">
        <v>31</v>
      </c>
      <c r="B15" s="34">
        <f>SUM(C15:F15)</f>
        <v>10</v>
      </c>
      <c r="C15" s="34">
        <v>4</v>
      </c>
      <c r="D15" s="34">
        <v>2</v>
      </c>
      <c r="E15" s="34">
        <v>2</v>
      </c>
      <c r="F15" s="34">
        <v>2</v>
      </c>
      <c r="G15" s="48">
        <v>25</v>
      </c>
      <c r="H15" s="48"/>
      <c r="I15" s="156">
        <v>5</v>
      </c>
      <c r="J15" s="48">
        <v>11.5</v>
      </c>
      <c r="K15" s="48">
        <f>SUM(G15:J15)</f>
        <v>41.5</v>
      </c>
      <c r="L15" s="48">
        <f>+((C15+D15+E15+F15)-(G15+H15+I15+J15))*-1</f>
        <v>31.5</v>
      </c>
      <c r="M15" s="48">
        <v>29</v>
      </c>
    </row>
    <row r="16" spans="1:13">
      <c r="A16" s="51" t="s">
        <v>132</v>
      </c>
      <c r="B16" s="34">
        <f>SUM(C16:F16)</f>
        <v>10</v>
      </c>
      <c r="C16" s="34">
        <v>1</v>
      </c>
      <c r="D16" s="34">
        <v>2</v>
      </c>
      <c r="E16" s="34">
        <v>2</v>
      </c>
      <c r="F16" s="137">
        <v>5</v>
      </c>
      <c r="G16" s="48"/>
      <c r="H16" s="48">
        <v>1</v>
      </c>
      <c r="I16" s="138">
        <v>5</v>
      </c>
      <c r="J16" s="48"/>
      <c r="K16" s="48">
        <f>SUM(G16:J16)</f>
        <v>6</v>
      </c>
      <c r="L16" s="48">
        <f>+((C16+D16+E16+F16)-(G16+H16+I16+J16))*-1</f>
        <v>-4</v>
      </c>
      <c r="M16" s="48">
        <v>27</v>
      </c>
    </row>
    <row r="17" spans="1:16">
      <c r="A17" s="51" t="s">
        <v>133</v>
      </c>
      <c r="B17" s="34">
        <f>SUM(C17:F17)</f>
        <v>10</v>
      </c>
      <c r="C17" s="34">
        <v>2</v>
      </c>
      <c r="D17" s="34">
        <v>2</v>
      </c>
      <c r="E17" s="34">
        <v>3</v>
      </c>
      <c r="F17" s="34">
        <v>3</v>
      </c>
      <c r="G17" s="48">
        <v>3.5</v>
      </c>
      <c r="H17" s="48"/>
      <c r="I17" s="48"/>
      <c r="J17" s="48"/>
      <c r="K17" s="48">
        <f>SUM(G17:J17)</f>
        <v>3.5</v>
      </c>
      <c r="L17" s="48">
        <f>+((C17+D17+E17+F17)-(G17+H17+I17+J17))*-1</f>
        <v>-6.5</v>
      </c>
      <c r="M17" s="48">
        <v>77</v>
      </c>
      <c r="P17" s="139"/>
    </row>
    <row r="18" spans="1:13">
      <c r="A18" s="51" t="s">
        <v>98</v>
      </c>
      <c r="B18" s="34">
        <f>SUM(C18:F18)</f>
        <v>10</v>
      </c>
      <c r="C18" s="34">
        <v>1</v>
      </c>
      <c r="D18" s="34">
        <v>2</v>
      </c>
      <c r="E18" s="34">
        <v>3</v>
      </c>
      <c r="F18" s="34">
        <v>4</v>
      </c>
      <c r="G18" s="48"/>
      <c r="H18" s="48"/>
      <c r="I18" s="48"/>
      <c r="J18" s="48">
        <v>1</v>
      </c>
      <c r="K18" s="48">
        <f>SUM(G18:J18)</f>
        <v>1</v>
      </c>
      <c r="L18" s="48">
        <f>+((C18+D18+E18+F18)-(G18+H18+I18+J18))*-1</f>
        <v>-9</v>
      </c>
      <c r="M18" s="48">
        <v>34</v>
      </c>
    </row>
    <row r="19" spans="1:13">
      <c r="A19" s="51" t="s">
        <v>88</v>
      </c>
      <c r="B19" s="34">
        <f>SUM(C19:F19)</f>
        <v>10</v>
      </c>
      <c r="C19" s="34">
        <v>2</v>
      </c>
      <c r="D19" s="34">
        <v>2</v>
      </c>
      <c r="E19" s="34">
        <v>2</v>
      </c>
      <c r="F19" s="34">
        <v>4</v>
      </c>
      <c r="G19" s="48"/>
      <c r="H19" s="48">
        <v>1</v>
      </c>
      <c r="I19" s="48">
        <v>0.5</v>
      </c>
      <c r="J19" s="48">
        <v>2.5</v>
      </c>
      <c r="K19" s="48">
        <f>SUM(G19:J19)</f>
        <v>4</v>
      </c>
      <c r="L19" s="48">
        <f>+((C19+D19+E19+F19)-(G19+H19+I19+J19))*-1</f>
        <v>-6</v>
      </c>
      <c r="M19" s="48">
        <v>8</v>
      </c>
    </row>
    <row r="20" spans="1:13">
      <c r="A20" s="53" t="s">
        <v>33</v>
      </c>
      <c r="B20" s="34">
        <f>SUM(C20:F20)</f>
        <v>15</v>
      </c>
      <c r="C20" s="34">
        <v>4</v>
      </c>
      <c r="D20" s="34">
        <v>2</v>
      </c>
      <c r="E20" s="34">
        <v>4</v>
      </c>
      <c r="F20" s="34">
        <v>5</v>
      </c>
      <c r="G20" s="35">
        <v>4</v>
      </c>
      <c r="H20" s="35"/>
      <c r="I20" s="35">
        <v>5</v>
      </c>
      <c r="J20" s="48">
        <v>5.5</v>
      </c>
      <c r="K20" s="35">
        <f>SUM(G20:J20)</f>
        <v>14.5</v>
      </c>
      <c r="L20" s="48">
        <f>+((C20+D20+E20+F20)-(G20+H20+I20+J20))*-1</f>
        <v>-0.5</v>
      </c>
      <c r="M20" s="35">
        <v>6</v>
      </c>
    </row>
    <row r="21" spans="1:13">
      <c r="A21" s="53" t="s">
        <v>37</v>
      </c>
      <c r="B21" s="34"/>
      <c r="C21" s="34"/>
      <c r="D21" s="34"/>
      <c r="E21" s="34"/>
      <c r="F21" s="34"/>
      <c r="G21" s="35"/>
      <c r="H21" s="35"/>
      <c r="I21" s="35"/>
      <c r="J21" s="35"/>
      <c r="K21" s="35"/>
      <c r="L21" s="48"/>
      <c r="M21" s="35"/>
    </row>
    <row r="22" spans="1:13">
      <c r="A22" s="53" t="s">
        <v>38</v>
      </c>
      <c r="B22" s="34">
        <f>SUM(C22:F22)</f>
        <v>35</v>
      </c>
      <c r="C22" s="34">
        <v>7</v>
      </c>
      <c r="D22" s="34">
        <v>8</v>
      </c>
      <c r="E22" s="34">
        <v>10</v>
      </c>
      <c r="F22" s="34">
        <v>10</v>
      </c>
      <c r="G22" s="38">
        <v>2.5</v>
      </c>
      <c r="H22" s="35">
        <v>10</v>
      </c>
      <c r="I22" s="35">
        <v>5</v>
      </c>
      <c r="J22" s="35">
        <v>50.5</v>
      </c>
      <c r="K22" s="35">
        <f>SUM(G22:J22)</f>
        <v>68</v>
      </c>
      <c r="L22" s="48">
        <f>+((C22+D22+E22+F22)-(G22+H22+I22+J22))*-1</f>
        <v>33</v>
      </c>
      <c r="M22" s="35"/>
    </row>
    <row r="23" spans="1:13">
      <c r="A23" s="54" t="s">
        <v>39</v>
      </c>
      <c r="B23" s="147">
        <f>SUM(B8:B22)</f>
        <v>210</v>
      </c>
      <c r="C23" s="147">
        <f>SUM(C8:C22)</f>
        <v>51</v>
      </c>
      <c r="D23" s="147">
        <f t="shared" ref="D23:J23" si="3">SUM(D8:D22)</f>
        <v>49</v>
      </c>
      <c r="E23" s="147">
        <f>SUM(E8:E22)</f>
        <v>53</v>
      </c>
      <c r="F23" s="147">
        <f>SUM(F8:F22)</f>
        <v>57</v>
      </c>
      <c r="G23" s="147">
        <f>SUM(G8:G22)</f>
        <v>58</v>
      </c>
      <c r="H23" s="147">
        <f>SUM(H8:H22)</f>
        <v>26</v>
      </c>
      <c r="I23" s="147">
        <f>SUM(I8:I22)</f>
        <v>49.5</v>
      </c>
      <c r="J23" s="147">
        <f>SUM(J8:J22)</f>
        <v>79.5</v>
      </c>
      <c r="K23" s="108">
        <f>SUM(G23:J23)</f>
        <v>213</v>
      </c>
      <c r="L23" s="48">
        <f>+((C23+D23+E23+F23)-(G23+H23+I23+J23))*-1</f>
        <v>3</v>
      </c>
      <c r="M23" s="147">
        <f>SUM(M8:M22)</f>
        <v>520</v>
      </c>
    </row>
    <row r="24" spans="1:15">
      <c r="A24" s="148" t="s">
        <v>40</v>
      </c>
      <c r="B24" s="149"/>
      <c r="C24" s="23" t="s">
        <v>14</v>
      </c>
      <c r="D24" s="23"/>
      <c r="E24" s="23"/>
      <c r="F24" s="24"/>
      <c r="G24" s="11" t="s">
        <v>15</v>
      </c>
      <c r="H24" s="23"/>
      <c r="I24" s="23"/>
      <c r="J24" s="24"/>
      <c r="K24" s="63"/>
      <c r="L24" s="64"/>
      <c r="M24" s="107"/>
      <c r="N24" s="111"/>
      <c r="O24" s="90"/>
    </row>
    <row r="25" ht="25.5" spans="1:15">
      <c r="A25" s="25" t="s">
        <v>16</v>
      </c>
      <c r="B25" s="25" t="s">
        <v>17</v>
      </c>
      <c r="C25" s="25" t="s">
        <v>18</v>
      </c>
      <c r="D25" s="25" t="s">
        <v>122</v>
      </c>
      <c r="E25" s="25" t="s">
        <v>123</v>
      </c>
      <c r="F25" s="25" t="s">
        <v>107</v>
      </c>
      <c r="G25" s="25" t="s">
        <v>18</v>
      </c>
      <c r="H25" s="25" t="s">
        <v>122</v>
      </c>
      <c r="I25" s="25" t="s">
        <v>123</v>
      </c>
      <c r="J25" s="25" t="s">
        <v>131</v>
      </c>
      <c r="K25" s="25" t="s">
        <v>22</v>
      </c>
      <c r="L25" s="25" t="s">
        <v>41</v>
      </c>
      <c r="M25" s="25" t="s">
        <v>42</v>
      </c>
      <c r="N25" s="89"/>
      <c r="O25" s="90"/>
    </row>
    <row r="26" spans="1:15">
      <c r="A26" s="29" t="s">
        <v>25</v>
      </c>
      <c r="B26" s="48">
        <f>SUM(C26:F26)</f>
        <v>10.5</v>
      </c>
      <c r="C26" s="35">
        <v>2.2</v>
      </c>
      <c r="D26" s="34">
        <v>2.5</v>
      </c>
      <c r="E26" s="34">
        <v>2.3</v>
      </c>
      <c r="F26" s="34">
        <v>3.5</v>
      </c>
      <c r="G26" s="49">
        <f>(38150+31100+31300+23950+32800)/100000</f>
        <v>1.573</v>
      </c>
      <c r="H26" s="50">
        <f>(45200+48400+49400+32500+44300+27100+51600)/100000</f>
        <v>2.985</v>
      </c>
      <c r="I26" s="50">
        <f>(21100+14300+19800+45390+50500+24800)/100000</f>
        <v>1.7589</v>
      </c>
      <c r="J26" s="50">
        <f>(49300+104900+25300+29150+45000+59640)/100000</f>
        <v>3.1329</v>
      </c>
      <c r="K26" s="50">
        <f t="shared" ref="K26:K40" si="4">SUM(G26:J26)</f>
        <v>9.4498</v>
      </c>
      <c r="L26" s="50">
        <f>+((C26+D26+E26+F26)-(G26+H26+I26+J26))*-1</f>
        <v>-1.0502</v>
      </c>
      <c r="M26" s="91">
        <f>+K26/B26</f>
        <v>0.899980952380952</v>
      </c>
      <c r="N26" s="89"/>
      <c r="O26" s="90"/>
    </row>
    <row r="27" spans="1:15">
      <c r="A27" s="29" t="s">
        <v>26</v>
      </c>
      <c r="B27" s="48">
        <f t="shared" ref="B27:B40" si="5">SUM(C27:F27)</f>
        <v>11</v>
      </c>
      <c r="C27" s="35">
        <v>2</v>
      </c>
      <c r="D27" s="34">
        <v>3</v>
      </c>
      <c r="E27" s="34">
        <v>2.5</v>
      </c>
      <c r="F27" s="34">
        <v>3.5</v>
      </c>
      <c r="G27" s="129">
        <f>(11000+8800+23000+46000+73900)/100000</f>
        <v>1.627</v>
      </c>
      <c r="H27" s="130">
        <f>(24200+102340+29000+16500+24900+100100)/100000</f>
        <v>2.9704</v>
      </c>
      <c r="I27" s="50">
        <f>(45500+21000+116400+49800+8800+49500)/100000</f>
        <v>2.91</v>
      </c>
      <c r="J27" s="134">
        <f>(47800+120000+13340+26700+125640)/100000</f>
        <v>3.3348</v>
      </c>
      <c r="K27" s="50">
        <f>SUM(G27:J27)</f>
        <v>10.8422</v>
      </c>
      <c r="L27" s="50">
        <f t="shared" ref="L27:L41" si="6">+((C27+D27+E27+F27)-(G27+H27+I27+J27))*-1</f>
        <v>-0.1578</v>
      </c>
      <c r="M27" s="91">
        <f>+K27/B27</f>
        <v>0.985654545454545</v>
      </c>
      <c r="N27" s="92"/>
      <c r="O27" s="93"/>
    </row>
    <row r="28" spans="1:15">
      <c r="A28" s="29" t="s">
        <v>27</v>
      </c>
      <c r="B28" s="48">
        <f>SUM(C28:F28)</f>
        <v>8.5</v>
      </c>
      <c r="C28" s="34">
        <v>1.25</v>
      </c>
      <c r="D28" s="34">
        <v>2.25</v>
      </c>
      <c r="E28" s="34">
        <v>2</v>
      </c>
      <c r="F28" s="34">
        <v>3</v>
      </c>
      <c r="G28" s="129">
        <f>(37800+16500+14300+12700+15740)/100000</f>
        <v>0.9704</v>
      </c>
      <c r="H28" s="50">
        <f>(28800+38670+27300+10500+24950+100000)/100000</f>
        <v>2.3022</v>
      </c>
      <c r="I28" s="50">
        <f>(28800+15200+120130+35100+42100)/100000</f>
        <v>2.4133</v>
      </c>
      <c r="J28" s="134">
        <f>(90300+57600+38500+25000+17300+50800)/100000</f>
        <v>2.795</v>
      </c>
      <c r="K28" s="50">
        <f>SUM(G28:J28)</f>
        <v>8.4809</v>
      </c>
      <c r="L28" s="50">
        <f>+((C28+D28+E28+F28)-(G28+H28+I28+J28))*-1</f>
        <v>-0.0190999999999999</v>
      </c>
      <c r="M28" s="91">
        <f t="shared" ref="M28:M41" si="7">+K28/B28</f>
        <v>0.997752941176471</v>
      </c>
      <c r="N28" s="92"/>
      <c r="O28" s="93"/>
    </row>
    <row r="29" spans="1:15">
      <c r="A29" s="29" t="s">
        <v>28</v>
      </c>
      <c r="B29" s="48">
        <f>SUM(C29:F29)</f>
        <v>8.3</v>
      </c>
      <c r="C29" s="34">
        <v>1.5</v>
      </c>
      <c r="D29" s="34">
        <v>2.25</v>
      </c>
      <c r="E29" s="34">
        <v>1.8</v>
      </c>
      <c r="F29" s="34">
        <v>2.75</v>
      </c>
      <c r="G29" s="129">
        <f>(21400+15500+24100+13400+14900)/100000</f>
        <v>0.893</v>
      </c>
      <c r="H29" s="140">
        <f>(21450+64200+11800+23300+11800+42000)/100000</f>
        <v>1.7455</v>
      </c>
      <c r="I29" s="50">
        <f>(26000+7400+31100+51700+30100+32300)/100000</f>
        <v>1.786</v>
      </c>
      <c r="J29" s="134">
        <f>(24200+54400+29000+51700+28200+87155)/100000</f>
        <v>2.74655</v>
      </c>
      <c r="K29" s="50">
        <f>SUM(G29:J29)</f>
        <v>7.17105</v>
      </c>
      <c r="L29" s="50">
        <f>+((C29+D29+E29+F29)-(G29+H29+I29+J29))*-1</f>
        <v>-1.12895</v>
      </c>
      <c r="M29" s="91">
        <f>+K29/B29</f>
        <v>0.863981927710843</v>
      </c>
      <c r="N29" s="92"/>
      <c r="O29" s="93"/>
    </row>
    <row r="30" spans="1:15">
      <c r="A30" s="29" t="s">
        <v>29</v>
      </c>
      <c r="B30" s="48">
        <f>SUM(C30:F30)</f>
        <v>3</v>
      </c>
      <c r="C30" s="34">
        <v>0.5</v>
      </c>
      <c r="D30" s="34">
        <v>1</v>
      </c>
      <c r="E30" s="34">
        <v>0.75</v>
      </c>
      <c r="F30" s="34">
        <v>0.75</v>
      </c>
      <c r="G30" s="129">
        <f>(11000+4000+4000+55600)/100000</f>
        <v>0.746</v>
      </c>
      <c r="H30" s="50">
        <f>(4000+16800+4400+7000+62800+14400)/100000</f>
        <v>1.094</v>
      </c>
      <c r="I30" s="50">
        <f>(14450+10000+14400+26000+18000)/100000</f>
        <v>0.8285</v>
      </c>
      <c r="J30" s="134">
        <f>(57000+3250+3000+60600)/100000</f>
        <v>1.2385</v>
      </c>
      <c r="K30" s="50">
        <f>SUM(G30:J30)</f>
        <v>3.907</v>
      </c>
      <c r="L30" s="50">
        <f>+((C30+D30+E30+F30)-(G30+H30+I30+J30))*-1</f>
        <v>0.907</v>
      </c>
      <c r="M30" s="91">
        <f>+K30/B30</f>
        <v>1.30233333333333</v>
      </c>
      <c r="N30" s="92"/>
      <c r="O30" s="93"/>
    </row>
    <row r="31" spans="1:15">
      <c r="A31" s="29" t="s">
        <v>87</v>
      </c>
      <c r="B31" s="48">
        <f>SUM(C31:F31)</f>
        <v>2.5</v>
      </c>
      <c r="C31" s="34">
        <v>0.75</v>
      </c>
      <c r="D31" s="34">
        <v>0.75</v>
      </c>
      <c r="E31" s="34">
        <v>0.5</v>
      </c>
      <c r="F31" s="34">
        <v>0.5</v>
      </c>
      <c r="G31" s="129">
        <f>(7900+10900+5800+21515+6700)/100000</f>
        <v>0.52815</v>
      </c>
      <c r="H31" s="50">
        <f>(22350+11414+13418+9700+6400+11350+16400)/100000</f>
        <v>0.91032</v>
      </c>
      <c r="I31" s="50">
        <f>(10000+22300+31650+4500+4700+25300)/100000</f>
        <v>0.9845</v>
      </c>
      <c r="J31" s="134">
        <f>(7200+7350+17500+7450+15250+21550)/100000</f>
        <v>0.763</v>
      </c>
      <c r="K31" s="50">
        <f>SUM(G31:J31)</f>
        <v>3.18597</v>
      </c>
      <c r="L31" s="50">
        <f>+((C31+D31+E31+F31)-(G31+H31+I31+J31))*-1</f>
        <v>0.68597</v>
      </c>
      <c r="M31" s="91">
        <f>+K31/B31</f>
        <v>1.274388</v>
      </c>
      <c r="N31" s="92"/>
      <c r="O31" s="93"/>
    </row>
    <row r="32" spans="1:15">
      <c r="A32" s="51" t="s">
        <v>30</v>
      </c>
      <c r="B32" s="48">
        <f>SUM(C32:F32)</f>
        <v>9</v>
      </c>
      <c r="C32" s="35">
        <v>2</v>
      </c>
      <c r="D32" s="52">
        <v>2.25</v>
      </c>
      <c r="E32" s="52">
        <v>1.75</v>
      </c>
      <c r="F32" s="52">
        <v>3</v>
      </c>
      <c r="G32" s="129">
        <f>(47500+8800+32400)/100000</f>
        <v>0.887</v>
      </c>
      <c r="H32" s="50">
        <f>(13200+138500+146300)/100000</f>
        <v>2.98</v>
      </c>
      <c r="I32" s="50">
        <f>(63800+44000+23300+57300)/100000</f>
        <v>1.884</v>
      </c>
      <c r="J32" s="134">
        <f>(101300+143800+27600)/100000</f>
        <v>2.727</v>
      </c>
      <c r="K32" s="50">
        <f>SUM(G32:J32)</f>
        <v>8.478</v>
      </c>
      <c r="L32" s="50">
        <f>+((C32+D32+E32+F32)-(G32+H32+I32+J32))*-1</f>
        <v>-0.522</v>
      </c>
      <c r="M32" s="91">
        <f>+K32/B32</f>
        <v>0.942</v>
      </c>
      <c r="N32" s="94"/>
      <c r="O32" s="95"/>
    </row>
    <row r="33" spans="1:15">
      <c r="A33" s="51" t="s">
        <v>31</v>
      </c>
      <c r="B33" s="48">
        <f>SUM(C33:F33)</f>
        <v>5.25</v>
      </c>
      <c r="C33" s="35">
        <v>1</v>
      </c>
      <c r="D33" s="52">
        <v>1.25</v>
      </c>
      <c r="E33" s="52">
        <v>1</v>
      </c>
      <c r="F33" s="52">
        <v>2</v>
      </c>
      <c r="G33" s="129">
        <f>(7800+16400+11700+19300+15400)/100000</f>
        <v>0.706</v>
      </c>
      <c r="H33" s="50">
        <f>(11100+37200+13500+8100+10800+8500+38300)/100000</f>
        <v>1.275</v>
      </c>
      <c r="I33" s="50">
        <f>(17500+29040+14900+17410+23000+8700)/100000</f>
        <v>1.1055</v>
      </c>
      <c r="J33" s="134">
        <f>(13400+20500+27300+18400+18654+20900)/100000</f>
        <v>1.19154</v>
      </c>
      <c r="K33" s="50">
        <f>SUM(G33:J33)</f>
        <v>4.27804</v>
      </c>
      <c r="L33" s="50">
        <f>+((C33+D33+E33+F33)-(G33+H33+I33+J33))*-1</f>
        <v>-0.97196</v>
      </c>
      <c r="M33" s="91">
        <f>+K33/B33</f>
        <v>0.814864761904762</v>
      </c>
      <c r="N33" s="92"/>
      <c r="O33" s="93"/>
    </row>
    <row r="34" spans="1:15">
      <c r="A34" s="51" t="s">
        <v>134</v>
      </c>
      <c r="B34" s="48">
        <f>SUM(C34:F34)</f>
        <v>8</v>
      </c>
      <c r="C34" s="35">
        <v>1.75</v>
      </c>
      <c r="D34" s="52">
        <v>2.25</v>
      </c>
      <c r="E34" s="52">
        <v>1.5</v>
      </c>
      <c r="F34" s="52">
        <v>2.5</v>
      </c>
      <c r="G34" s="129">
        <f>(32000+22250+44100+21800+23550)/100000</f>
        <v>1.437</v>
      </c>
      <c r="H34" s="50">
        <f>(49900+22200+31000+41900+45000+18000+5000)/100000</f>
        <v>2.13</v>
      </c>
      <c r="I34" s="50">
        <f>(28250+39650+20300+18950+22850+39300)/100000</f>
        <v>1.693</v>
      </c>
      <c r="J34" s="134">
        <f>(15600+52150+19250+45550+36150+21100)/100000</f>
        <v>1.898</v>
      </c>
      <c r="K34" s="50">
        <f>SUM(G34:J34)</f>
        <v>7.158</v>
      </c>
      <c r="L34" s="50">
        <f>+((C34+D34+E34+F34)-(G34+H34+I34+J34))*-1</f>
        <v>-0.842000000000001</v>
      </c>
      <c r="M34" s="91">
        <f>+K34/B34</f>
        <v>0.89475</v>
      </c>
      <c r="N34" s="92"/>
      <c r="O34" s="93"/>
    </row>
    <row r="35" spans="1:15">
      <c r="A35" s="51" t="s">
        <v>98</v>
      </c>
      <c r="B35" s="48">
        <f>SUM(C35:F35)</f>
        <v>5.5</v>
      </c>
      <c r="C35" s="35">
        <v>1.25</v>
      </c>
      <c r="D35" s="52">
        <v>1.25</v>
      </c>
      <c r="E35" s="52">
        <v>1.5</v>
      </c>
      <c r="F35" s="52">
        <v>1.5</v>
      </c>
      <c r="G35" s="129">
        <f>(9700+12800+22350+9500+29600)/100000</f>
        <v>0.8395</v>
      </c>
      <c r="H35" s="50">
        <f>(88300+22700+30200+9800+18700+28200+19460)/100000</f>
        <v>2.1736</v>
      </c>
      <c r="I35" s="50">
        <f>(15300+15440+23600+16100+29200)/100000</f>
        <v>0.9964</v>
      </c>
      <c r="J35" s="134">
        <f>(29800+30800+20800+15900+18300+19400)/100000</f>
        <v>1.35</v>
      </c>
      <c r="K35" s="50">
        <f>SUM(G35:J35)</f>
        <v>5.3595</v>
      </c>
      <c r="L35" s="50">
        <f>+((C35+D35+E35+F35)-(G35+H35+I35+J35))*-1</f>
        <v>-0.140499999999999</v>
      </c>
      <c r="M35" s="91">
        <f>+K35/B35</f>
        <v>0.974454545454546</v>
      </c>
      <c r="N35" s="92"/>
      <c r="O35" s="93"/>
    </row>
    <row r="36" spans="1:15">
      <c r="A36" s="51" t="s">
        <v>132</v>
      </c>
      <c r="B36" s="48">
        <f>SUM(C36:F36)</f>
        <v>8</v>
      </c>
      <c r="C36" s="35">
        <v>2</v>
      </c>
      <c r="D36" s="52">
        <v>2</v>
      </c>
      <c r="E36" s="52">
        <v>1.5</v>
      </c>
      <c r="F36" s="52">
        <v>2.5</v>
      </c>
      <c r="G36" s="129">
        <f>(20100+19400+19250+21700+15300)/100000</f>
        <v>0.9575</v>
      </c>
      <c r="H36" s="50">
        <f>(12900+20900+36200+16500+10900+12300+14450)/100000</f>
        <v>1.2415</v>
      </c>
      <c r="I36" s="50">
        <f>(15200+26400+15650+56050+12000+26850)/100000</f>
        <v>1.5215</v>
      </c>
      <c r="J36" s="134">
        <f>(32950+38450+20700+17850+44950+89400)/100000</f>
        <v>2.443</v>
      </c>
      <c r="K36" s="50">
        <f>SUM(G36:J36)</f>
        <v>6.1635</v>
      </c>
      <c r="L36" s="50">
        <f>+((C36+D36+E36+F36)-(G36+H36+I36+J36))*-1</f>
        <v>-1.8365</v>
      </c>
      <c r="M36" s="91">
        <f>+K36/B36</f>
        <v>0.7704375</v>
      </c>
      <c r="N36" s="92"/>
      <c r="O36" s="93"/>
    </row>
    <row r="37" spans="1:15">
      <c r="A37" s="51" t="s">
        <v>88</v>
      </c>
      <c r="B37" s="48">
        <f ca="1">SUM(C37:D37:E37:F37)</f>
        <v>4.75</v>
      </c>
      <c r="C37" s="35">
        <v>1</v>
      </c>
      <c r="D37" s="52">
        <v>1</v>
      </c>
      <c r="E37" s="52">
        <v>1.25</v>
      </c>
      <c r="F37" s="52">
        <v>1.5</v>
      </c>
      <c r="G37" s="129">
        <f>(27920+14400+5700+15537+22100)/100000</f>
        <v>0.85657</v>
      </c>
      <c r="H37" s="50">
        <f>(20300+25300+18900+13800+15500+3900+37700)/100000</f>
        <v>1.354</v>
      </c>
      <c r="I37" s="50">
        <f>(18000+16200+14700+15000+17300+11250)/100000</f>
        <v>0.9245</v>
      </c>
      <c r="J37" s="134">
        <f>(17300+21600+14450+17810+30650+21901)/100000</f>
        <v>1.23711</v>
      </c>
      <c r="K37" s="50">
        <f>SUM(G37:J37)</f>
        <v>4.37218</v>
      </c>
      <c r="L37" s="50">
        <f>+((C37+D37+E37+F37)-(G37+H37+I37+J37))*-1</f>
        <v>-0.37782</v>
      </c>
      <c r="M37" s="91">
        <f ca="1">+K37/B37</f>
        <v>0.920458947368421</v>
      </c>
      <c r="N37" s="92"/>
      <c r="O37" s="93"/>
    </row>
    <row r="38" spans="1:15">
      <c r="A38" s="53" t="s">
        <v>37</v>
      </c>
      <c r="B38" s="48">
        <f>SUM(C38:F38)</f>
        <v>0.7</v>
      </c>
      <c r="C38" s="35">
        <v>0.1</v>
      </c>
      <c r="D38" s="52">
        <v>0.1</v>
      </c>
      <c r="E38" s="52">
        <v>0.25</v>
      </c>
      <c r="F38" s="52">
        <v>0.25</v>
      </c>
      <c r="G38" s="129">
        <f>(2200+13200+4400)/100000</f>
        <v>0.198</v>
      </c>
      <c r="H38" s="50"/>
      <c r="I38" s="50"/>
      <c r="J38" s="134">
        <f>(8800)/100000</f>
        <v>0.088</v>
      </c>
      <c r="K38" s="50">
        <f>SUM(G38:J38)</f>
        <v>0.286</v>
      </c>
      <c r="L38" s="50">
        <f>+((C38+D38+E38+F38)-(G38+H38+I38+J38))*-1</f>
        <v>-0.414</v>
      </c>
      <c r="M38" s="91">
        <f>+K38/B38</f>
        <v>0.408571428571429</v>
      </c>
      <c r="N38" s="92"/>
      <c r="O38" s="93"/>
    </row>
    <row r="39" spans="1:15">
      <c r="A39" s="53" t="s">
        <v>35</v>
      </c>
      <c r="B39" s="48">
        <f>SUM(C39:F39)</f>
        <v>5</v>
      </c>
      <c r="C39" s="35">
        <v>1</v>
      </c>
      <c r="D39" s="52">
        <v>1</v>
      </c>
      <c r="E39" s="52">
        <v>1.5</v>
      </c>
      <c r="F39" s="52">
        <v>1.5</v>
      </c>
      <c r="G39" s="129">
        <f>(22000)/100000</f>
        <v>0.22</v>
      </c>
      <c r="H39" s="50">
        <f>(171880+28660)/100000</f>
        <v>2.0054</v>
      </c>
      <c r="I39" s="50">
        <f>(31230+50000+22000)/100000</f>
        <v>1.0323</v>
      </c>
      <c r="J39" s="134">
        <f>(136310+167195)/100000</f>
        <v>3.03505</v>
      </c>
      <c r="K39" s="50">
        <f>SUM(G39:J39)</f>
        <v>6.29275</v>
      </c>
      <c r="L39" s="50">
        <f>+((C39+D39+E39+F39)-(G39+H39+I39+J39))*-1</f>
        <v>1.29275</v>
      </c>
      <c r="M39" s="91">
        <f>+K39/B39</f>
        <v>1.25855</v>
      </c>
      <c r="N39" s="92"/>
      <c r="O39" s="93"/>
    </row>
    <row r="40" spans="1:15">
      <c r="A40" s="53" t="s">
        <v>38</v>
      </c>
      <c r="B40" s="48">
        <f>SUM(C40:F40)</f>
        <v>15.5</v>
      </c>
      <c r="C40" s="35">
        <v>2.5</v>
      </c>
      <c r="D40" s="52">
        <v>3.25</v>
      </c>
      <c r="E40" s="52">
        <v>4.25</v>
      </c>
      <c r="F40" s="52">
        <v>5.5</v>
      </c>
      <c r="G40" s="129">
        <f>(64020+34755+59885+27200+34400)/100000</f>
        <v>2.2026</v>
      </c>
      <c r="H40" s="50">
        <f>(29920+83300+23100+80680+50760+55000+69630)/100000</f>
        <v>3.9239</v>
      </c>
      <c r="I40" s="50">
        <f>(26400+10610+60450+186280+62800+113300)/100000</f>
        <v>4.5984</v>
      </c>
      <c r="J40" s="134">
        <f>(82210+19500+53300+29550+288000+557800)/100000</f>
        <v>10.3036</v>
      </c>
      <c r="K40" s="50">
        <f>SUM(G40:J40)</f>
        <v>21.0285</v>
      </c>
      <c r="L40" s="50">
        <f>+((C40+D40+E40+F40)-(G40+H40+I40+J40))*-1</f>
        <v>5.5285</v>
      </c>
      <c r="M40" s="91">
        <f>+K40/B40</f>
        <v>1.35667741935484</v>
      </c>
      <c r="N40" s="92"/>
      <c r="O40" s="93"/>
    </row>
    <row r="41" spans="1:15">
      <c r="A41" s="54" t="s">
        <v>44</v>
      </c>
      <c r="B41" s="48">
        <f ca="1" t="shared" ref="B41:K41" si="8">SUM(B26:B40)</f>
        <v>105.5</v>
      </c>
      <c r="C41" s="35">
        <f>SUM(C26:C40)</f>
        <v>20.8</v>
      </c>
      <c r="D41" s="48">
        <f>SUM(D26:D40)</f>
        <v>26.1</v>
      </c>
      <c r="E41" s="48">
        <f>SUM(E26:E40)</f>
        <v>24.35</v>
      </c>
      <c r="F41" s="48">
        <f>SUM(F26:F40)</f>
        <v>34.25</v>
      </c>
      <c r="G41" s="131">
        <f>SUM(G26:G40)</f>
        <v>14.64172</v>
      </c>
      <c r="H41" s="50">
        <f>SUM(H26:H40)</f>
        <v>29.09082</v>
      </c>
      <c r="I41" s="50">
        <f>SUM(I26:I40)</f>
        <v>24.4368</v>
      </c>
      <c r="J41" s="134">
        <f>SUM(J26:J40)</f>
        <v>38.28405</v>
      </c>
      <c r="K41" s="135">
        <f>SUM(K26:K40)</f>
        <v>106.45339</v>
      </c>
      <c r="L41" s="50">
        <f>+((C41+D41+E41+F41)-(G41+H41+I41+J41))*-1</f>
        <v>0.953390000000013</v>
      </c>
      <c r="M41" s="154">
        <f ca="1">+K41/B41</f>
        <v>1.00903687203791</v>
      </c>
      <c r="N41" s="92"/>
      <c r="O41" s="93"/>
    </row>
    <row r="42" spans="1:15">
      <c r="A42" s="55"/>
      <c r="B42" s="56"/>
      <c r="C42" s="57"/>
      <c r="N42" s="94"/>
      <c r="O42" s="95"/>
    </row>
    <row r="43" spans="14:15">
      <c r="N43" s="92"/>
      <c r="O43" s="93"/>
    </row>
    <row r="44" spans="14:15">
      <c r="N44" s="92"/>
      <c r="O44" s="93"/>
    </row>
    <row r="45" spans="14:15">
      <c r="N45" s="92"/>
      <c r="O45" s="93"/>
    </row>
    <row r="46" spans="14:15">
      <c r="N46" s="92"/>
      <c r="O46" s="93"/>
    </row>
    <row r="47" spans="14:15">
      <c r="N47" s="92"/>
      <c r="O47" s="93"/>
    </row>
    <row r="48" spans="14:15">
      <c r="N48" s="92"/>
      <c r="O48" s="93"/>
    </row>
    <row r="49" spans="14:15">
      <c r="N49" s="92"/>
      <c r="O49" s="93"/>
    </row>
    <row r="50" spans="14:15">
      <c r="N50" s="92"/>
      <c r="O50" s="93"/>
    </row>
    <row r="51" spans="14:15">
      <c r="N51" s="92"/>
      <c r="O51" s="93"/>
    </row>
    <row r="52" spans="14:15">
      <c r="N52" s="94"/>
      <c r="O52" s="95"/>
    </row>
    <row r="53" spans="14:15">
      <c r="N53" s="92"/>
      <c r="O53" s="93"/>
    </row>
    <row r="54" spans="14:15">
      <c r="N54" s="92"/>
      <c r="O54" s="93"/>
    </row>
    <row r="55" spans="14:15">
      <c r="N55" s="92"/>
      <c r="O55" s="93"/>
    </row>
    <row r="56" spans="14:15">
      <c r="N56" s="92"/>
      <c r="O56" s="93"/>
    </row>
    <row r="57" spans="14:15">
      <c r="N57" s="92"/>
      <c r="O57" s="93"/>
    </row>
    <row r="58" spans="14:15">
      <c r="N58" s="92"/>
      <c r="O58" s="93"/>
    </row>
    <row r="59" spans="14:15">
      <c r="N59" s="92"/>
      <c r="O59" s="93"/>
    </row>
    <row r="60" spans="14:15">
      <c r="N60" s="94"/>
      <c r="O60" s="95"/>
    </row>
    <row r="61" spans="14:15">
      <c r="N61" s="92"/>
      <c r="O61" s="93"/>
    </row>
    <row r="62" spans="14:15">
      <c r="N62" s="92"/>
      <c r="O62" s="93"/>
    </row>
    <row r="63" spans="14:15">
      <c r="N63" s="92"/>
      <c r="O63" s="93"/>
    </row>
    <row r="64" spans="14:15">
      <c r="N64" s="92"/>
      <c r="O64" s="93"/>
    </row>
    <row r="65" spans="14:15">
      <c r="N65" s="92"/>
      <c r="O65" s="93"/>
    </row>
    <row r="66" spans="14:15">
      <c r="N66" s="92"/>
      <c r="O66" s="93"/>
    </row>
    <row r="67" spans="14:15">
      <c r="N67" s="92"/>
      <c r="O67" s="93"/>
    </row>
    <row r="68" spans="14:15">
      <c r="N68" s="92"/>
      <c r="O68" s="96"/>
    </row>
  </sheetData>
  <mergeCells count="6">
    <mergeCell ref="B1:M1"/>
    <mergeCell ref="D5:F5"/>
    <mergeCell ref="C6:F6"/>
    <mergeCell ref="G6:J6"/>
    <mergeCell ref="C24:F24"/>
    <mergeCell ref="G24:J24"/>
  </mergeCells>
  <pageMargins left="0.708333333333333" right="0.708333333333333" top="0.747916666666667" bottom="0.747916666666667" header="0.314583333333333" footer="0.314583333333333"/>
  <pageSetup paperSize="9" scale="75" orientation="landscape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68"/>
  <sheetViews>
    <sheetView topLeftCell="A26" workbookViewId="0">
      <selection activeCell="A1" sqref="A1:M41"/>
    </sheetView>
  </sheetViews>
  <sheetFormatPr defaultColWidth="9" defaultRowHeight="15"/>
  <cols>
    <col min="1" max="1" width="18.8571428571429" style="1" customWidth="1"/>
    <col min="2" max="2" width="10.1428571428571" style="2" customWidth="1"/>
    <col min="3" max="3" width="9.42857142857143" style="1" customWidth="1"/>
    <col min="4" max="5" width="9.71428571428571" style="1" customWidth="1"/>
    <col min="6" max="6" width="10.2857142857143" style="1" customWidth="1"/>
    <col min="7" max="7" width="10.1428571428571" style="1" customWidth="1"/>
    <col min="8" max="8" width="10.2857142857143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spans="1:13">
      <c r="A1" s="125" t="s">
        <v>135</v>
      </c>
      <c r="B1" s="119" t="s">
        <v>136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spans="1:13">
      <c r="A2" s="6" t="s">
        <v>2</v>
      </c>
      <c r="B2" s="7">
        <f>+K23</f>
        <v>151</v>
      </c>
      <c r="C2" s="8"/>
      <c r="D2" s="8"/>
      <c r="E2" s="8"/>
      <c r="F2" s="8"/>
      <c r="G2" s="8"/>
      <c r="H2" s="8"/>
      <c r="I2" s="8"/>
      <c r="J2" s="8"/>
      <c r="K2" s="8"/>
      <c r="L2" s="8"/>
      <c r="M2" s="104"/>
    </row>
    <row r="3" spans="1:13">
      <c r="A3" s="6" t="s">
        <v>3</v>
      </c>
      <c r="B3" s="7">
        <f>+M23</f>
        <v>287</v>
      </c>
      <c r="C3" s="8"/>
      <c r="D3" s="8"/>
      <c r="E3" s="8"/>
      <c r="F3" s="8"/>
      <c r="G3" s="8"/>
      <c r="H3" s="8"/>
      <c r="I3" s="8"/>
      <c r="J3" s="8"/>
      <c r="K3" s="8"/>
      <c r="L3" s="8"/>
      <c r="M3" s="104"/>
    </row>
    <row r="4" spans="1:13">
      <c r="A4" s="6" t="s">
        <v>137</v>
      </c>
      <c r="B4" s="11"/>
      <c r="C4" s="12"/>
      <c r="D4" s="13" t="s">
        <v>138</v>
      </c>
      <c r="E4" s="12"/>
      <c r="F4" s="12"/>
      <c r="G4" s="14" t="s">
        <v>78</v>
      </c>
      <c r="H4" s="155"/>
      <c r="I4" s="12" t="s">
        <v>7</v>
      </c>
      <c r="J4" s="13">
        <f>+K41</f>
        <v>106.25213</v>
      </c>
      <c r="K4" s="12" t="s">
        <v>8</v>
      </c>
      <c r="L4" s="12" t="s">
        <v>139</v>
      </c>
      <c r="M4" s="106"/>
    </row>
    <row r="5" spans="1:13">
      <c r="A5" s="16" t="s">
        <v>10</v>
      </c>
      <c r="B5" s="17" t="s">
        <v>140</v>
      </c>
      <c r="C5" s="18" t="s">
        <v>81</v>
      </c>
      <c r="D5" s="19">
        <v>9844250</v>
      </c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5.5" spans="1:13">
      <c r="A7" s="25" t="s">
        <v>16</v>
      </c>
      <c r="B7" s="25" t="s">
        <v>17</v>
      </c>
      <c r="C7" s="25" t="s">
        <v>18</v>
      </c>
      <c r="D7" s="25" t="s">
        <v>122</v>
      </c>
      <c r="E7" s="25" t="s">
        <v>123</v>
      </c>
      <c r="F7" s="25" t="s">
        <v>106</v>
      </c>
      <c r="G7" s="25" t="s">
        <v>18</v>
      </c>
      <c r="H7" s="25" t="s">
        <v>122</v>
      </c>
      <c r="I7" s="25" t="s">
        <v>124</v>
      </c>
      <c r="J7" s="25" t="s">
        <v>107</v>
      </c>
      <c r="K7" s="25" t="s">
        <v>22</v>
      </c>
      <c r="L7" s="25" t="s">
        <v>23</v>
      </c>
      <c r="M7" s="25" t="s">
        <v>24</v>
      </c>
    </row>
    <row r="8" spans="1:13">
      <c r="A8" s="29" t="s">
        <v>25</v>
      </c>
      <c r="B8" s="34">
        <f>SUM(C8:F8)</f>
        <v>20</v>
      </c>
      <c r="C8" s="34">
        <v>5</v>
      </c>
      <c r="D8" s="34">
        <v>5</v>
      </c>
      <c r="E8" s="34">
        <v>5</v>
      </c>
      <c r="F8" s="34">
        <v>5</v>
      </c>
      <c r="G8" s="48"/>
      <c r="H8" s="48"/>
      <c r="I8" s="48">
        <v>1</v>
      </c>
      <c r="J8" s="48">
        <v>1</v>
      </c>
      <c r="K8" s="48">
        <f t="shared" ref="K8:K23" si="0">SUM(G8:J8)</f>
        <v>2</v>
      </c>
      <c r="L8" s="48">
        <f>+((C8+D8+E8+F8)-(G8+H8+I8+J8))*-1</f>
        <v>-18</v>
      </c>
      <c r="M8" s="48">
        <v>18</v>
      </c>
    </row>
    <row r="9" spans="1:13">
      <c r="A9" s="29" t="s">
        <v>26</v>
      </c>
      <c r="B9" s="34">
        <f t="shared" ref="B9:B22" si="1">SUM(C9:F9)</f>
        <v>20</v>
      </c>
      <c r="C9" s="34">
        <v>7</v>
      </c>
      <c r="D9" s="34">
        <v>7</v>
      </c>
      <c r="E9" s="34">
        <v>3</v>
      </c>
      <c r="F9" s="34">
        <v>3</v>
      </c>
      <c r="G9" s="48">
        <v>10</v>
      </c>
      <c r="H9" s="48">
        <v>7</v>
      </c>
      <c r="I9" s="48">
        <v>3</v>
      </c>
      <c r="J9" s="48"/>
      <c r="K9" s="48">
        <f>SUM(G9:J9)</f>
        <v>20</v>
      </c>
      <c r="L9" s="48">
        <f t="shared" ref="L9:L23" si="2">+((C9+D9+E9+F9)-(G9+H9+I9+J9))*-1</f>
        <v>0</v>
      </c>
      <c r="M9" s="48">
        <v>19</v>
      </c>
    </row>
    <row r="10" spans="1:17">
      <c r="A10" s="29" t="s">
        <v>27</v>
      </c>
      <c r="B10" s="34">
        <f>SUM(C10:F10)</f>
        <v>15</v>
      </c>
      <c r="C10" s="34">
        <v>2</v>
      </c>
      <c r="D10" s="34">
        <v>3</v>
      </c>
      <c r="E10" s="34">
        <v>5</v>
      </c>
      <c r="F10" s="34">
        <v>5</v>
      </c>
      <c r="G10" s="48">
        <v>2</v>
      </c>
      <c r="H10" s="48">
        <v>10</v>
      </c>
      <c r="I10" s="48">
        <v>13</v>
      </c>
      <c r="J10" s="48"/>
      <c r="K10" s="48">
        <f>SUM(G10:J10)</f>
        <v>25</v>
      </c>
      <c r="L10" s="48">
        <f>+((C10+D10+E10+F10)-(G10+H10+I10+J10))*-1</f>
        <v>10</v>
      </c>
      <c r="M10" s="48">
        <v>9</v>
      </c>
      <c r="Q10"/>
    </row>
    <row r="11" spans="1:13">
      <c r="A11" s="29" t="s">
        <v>28</v>
      </c>
      <c r="B11" s="34">
        <f>SUM(C11:F11)</f>
        <v>15</v>
      </c>
      <c r="C11" s="34">
        <v>2</v>
      </c>
      <c r="D11" s="34">
        <v>4</v>
      </c>
      <c r="E11" s="34">
        <v>4</v>
      </c>
      <c r="F11" s="34">
        <v>5</v>
      </c>
      <c r="G11" s="48">
        <v>1</v>
      </c>
      <c r="H11" s="48">
        <v>1</v>
      </c>
      <c r="I11" s="48">
        <v>2</v>
      </c>
      <c r="J11" s="48">
        <v>11</v>
      </c>
      <c r="K11" s="48">
        <f>SUM(G11:J11)</f>
        <v>15</v>
      </c>
      <c r="L11" s="48">
        <f>+((C11+D11+E11+F11)-(G11+H11+I11+J11))*-1</f>
        <v>0</v>
      </c>
      <c r="M11" s="48">
        <v>35</v>
      </c>
    </row>
    <row r="12" spans="1:13">
      <c r="A12" s="29" t="s">
        <v>29</v>
      </c>
      <c r="B12" s="34">
        <f>SUM(C12:F12)</f>
        <v>10</v>
      </c>
      <c r="C12" s="34">
        <v>2</v>
      </c>
      <c r="D12" s="34">
        <v>3</v>
      </c>
      <c r="E12" s="34">
        <v>3</v>
      </c>
      <c r="F12" s="34">
        <v>2</v>
      </c>
      <c r="G12" s="48"/>
      <c r="H12" s="48"/>
      <c r="I12" s="48"/>
      <c r="J12" s="48">
        <v>4</v>
      </c>
      <c r="K12" s="48">
        <f>SUM(G12:J12)</f>
        <v>4</v>
      </c>
      <c r="L12" s="48">
        <f>+((C12+D12+E12+F12)-(G12+H12+I12+J12))*-1</f>
        <v>-6</v>
      </c>
      <c r="M12" s="48">
        <v>1</v>
      </c>
    </row>
    <row r="13" spans="1:13">
      <c r="A13" s="29" t="s">
        <v>87</v>
      </c>
      <c r="B13" s="34">
        <f>SUM(C13:F13)</f>
        <v>12</v>
      </c>
      <c r="C13" s="34">
        <v>2</v>
      </c>
      <c r="D13" s="34">
        <v>4</v>
      </c>
      <c r="E13" s="34">
        <v>3</v>
      </c>
      <c r="F13" s="34">
        <v>3</v>
      </c>
      <c r="G13" s="48"/>
      <c r="H13" s="48">
        <v>1</v>
      </c>
      <c r="I13" s="48">
        <v>6</v>
      </c>
      <c r="J13" s="48">
        <v>5</v>
      </c>
      <c r="K13" s="48">
        <f>SUM(G13:J13)</f>
        <v>12</v>
      </c>
      <c r="L13" s="48">
        <f>+((C13+D13+E13+F13)-(G13+H13+I13+J13))*-1</f>
        <v>0</v>
      </c>
      <c r="M13" s="48">
        <v>3</v>
      </c>
    </row>
    <row r="14" spans="1:13">
      <c r="A14" s="51" t="s">
        <v>30</v>
      </c>
      <c r="B14" s="34">
        <f>SUM(C14:F14)</f>
        <v>20</v>
      </c>
      <c r="C14" s="34">
        <v>7</v>
      </c>
      <c r="D14" s="34">
        <v>4</v>
      </c>
      <c r="E14" s="34">
        <v>4</v>
      </c>
      <c r="F14" s="34">
        <v>5</v>
      </c>
      <c r="G14" s="48">
        <v>0</v>
      </c>
      <c r="H14" s="48"/>
      <c r="I14" s="48"/>
      <c r="J14" s="48">
        <v>3</v>
      </c>
      <c r="K14" s="48">
        <f>SUM(G14:J14)</f>
        <v>3</v>
      </c>
      <c r="L14" s="48">
        <f>+((C14+D14+E14+F14)-(G14+H14+I14+J14))*-1</f>
        <v>-17</v>
      </c>
      <c r="M14" s="48">
        <v>56</v>
      </c>
    </row>
    <row r="15" spans="1:13">
      <c r="A15" s="51" t="s">
        <v>31</v>
      </c>
      <c r="B15" s="34">
        <f>SUM(C15:F15)</f>
        <v>13</v>
      </c>
      <c r="C15" s="34">
        <v>2</v>
      </c>
      <c r="D15" s="34">
        <v>3</v>
      </c>
      <c r="E15" s="34">
        <v>4</v>
      </c>
      <c r="F15" s="34">
        <v>4</v>
      </c>
      <c r="G15" s="48"/>
      <c r="H15" s="48">
        <v>2.5</v>
      </c>
      <c r="I15" s="48"/>
      <c r="J15" s="48"/>
      <c r="K15" s="48">
        <f>SUM(G15:J15)</f>
        <v>2.5</v>
      </c>
      <c r="L15" s="48">
        <f>+((C15+D15+E15+F15)-(G15+H15+I15+J15))*-1</f>
        <v>-10.5</v>
      </c>
      <c r="M15" s="48">
        <v>8</v>
      </c>
    </row>
    <row r="16" spans="1:13">
      <c r="A16" s="51" t="s">
        <v>132</v>
      </c>
      <c r="B16" s="34">
        <f>SUM(C16:F16)</f>
        <v>10</v>
      </c>
      <c r="C16" s="34">
        <v>1</v>
      </c>
      <c r="D16" s="34">
        <v>2</v>
      </c>
      <c r="E16" s="34">
        <v>2</v>
      </c>
      <c r="F16" s="137">
        <v>5</v>
      </c>
      <c r="G16" s="48"/>
      <c r="H16" s="48"/>
      <c r="I16" s="138"/>
      <c r="J16" s="48"/>
      <c r="K16" s="48">
        <f>SUM(G16:J16)</f>
        <v>0</v>
      </c>
      <c r="L16" s="48">
        <f>+((C16+D16+E16+F16)-(G16+H16+I16+J16))*-1</f>
        <v>-10</v>
      </c>
      <c r="M16" s="48">
        <v>42</v>
      </c>
    </row>
    <row r="17" spans="1:16">
      <c r="A17" s="51" t="s">
        <v>141</v>
      </c>
      <c r="B17" s="34">
        <f>SUM(C17:F17)</f>
        <v>10</v>
      </c>
      <c r="C17" s="34">
        <v>1</v>
      </c>
      <c r="D17" s="34">
        <v>2</v>
      </c>
      <c r="E17" s="34">
        <v>3</v>
      </c>
      <c r="F17" s="34">
        <v>4</v>
      </c>
      <c r="G17" s="48">
        <v>3.5</v>
      </c>
      <c r="H17" s="48">
        <v>0.5</v>
      </c>
      <c r="I17" s="48"/>
      <c r="J17" s="48">
        <v>6</v>
      </c>
      <c r="K17" s="48">
        <f>SUM(G17:J17)</f>
        <v>10</v>
      </c>
      <c r="L17" s="48">
        <f>+((C17+D17+E17+F17)-(G17+H17+I17+J17))*-1</f>
        <v>0</v>
      </c>
      <c r="M17" s="48">
        <v>15</v>
      </c>
      <c r="P17" s="139"/>
    </row>
    <row r="18" spans="1:13">
      <c r="A18" s="51" t="s">
        <v>98</v>
      </c>
      <c r="B18" s="34">
        <f>SUM(C18:F18)</f>
        <v>10</v>
      </c>
      <c r="C18" s="34">
        <v>1</v>
      </c>
      <c r="D18" s="34">
        <v>2</v>
      </c>
      <c r="E18" s="34">
        <v>3</v>
      </c>
      <c r="F18" s="34">
        <v>4</v>
      </c>
      <c r="G18" s="48"/>
      <c r="H18" s="48"/>
      <c r="I18" s="48"/>
      <c r="J18" s="48">
        <v>0.5</v>
      </c>
      <c r="K18" s="48">
        <f>SUM(G18:J18)</f>
        <v>0.5</v>
      </c>
      <c r="L18" s="48">
        <f>+((C18+D18+E18+F18)-(G18+H18+I18+J18))*-1</f>
        <v>-9.5</v>
      </c>
      <c r="M18" s="48">
        <v>27</v>
      </c>
    </row>
    <row r="19" spans="1:13">
      <c r="A19" s="51" t="s">
        <v>88</v>
      </c>
      <c r="B19" s="34">
        <f>SUM(C19:F19)</f>
        <v>10</v>
      </c>
      <c r="C19" s="34">
        <v>2</v>
      </c>
      <c r="D19" s="34">
        <v>2</v>
      </c>
      <c r="E19" s="34">
        <v>2</v>
      </c>
      <c r="F19" s="34">
        <v>4</v>
      </c>
      <c r="G19" s="48">
        <v>0.5</v>
      </c>
      <c r="H19" s="48"/>
      <c r="I19" s="48">
        <v>2.5</v>
      </c>
      <c r="J19" s="48">
        <v>3.5</v>
      </c>
      <c r="K19" s="48">
        <f>SUM(G19:J19)</f>
        <v>6.5</v>
      </c>
      <c r="L19" s="48">
        <f>+((C19+D19+E19+F19)-(G19+H19+I19+J19))*-1</f>
        <v>-3.5</v>
      </c>
      <c r="M19" s="48">
        <v>31</v>
      </c>
    </row>
    <row r="20" spans="1:13">
      <c r="A20" s="53" t="s">
        <v>33</v>
      </c>
      <c r="B20" s="34">
        <f>SUM(C20:F20)</f>
        <v>15</v>
      </c>
      <c r="C20" s="34">
        <v>2</v>
      </c>
      <c r="D20" s="34">
        <v>3</v>
      </c>
      <c r="E20" s="34">
        <v>5</v>
      </c>
      <c r="F20" s="34">
        <v>5</v>
      </c>
      <c r="G20" s="35">
        <v>0.5</v>
      </c>
      <c r="H20" s="35">
        <v>4</v>
      </c>
      <c r="I20" s="35">
        <v>1</v>
      </c>
      <c r="J20" s="48">
        <v>5</v>
      </c>
      <c r="K20" s="35">
        <f>SUM(G20:J20)</f>
        <v>10.5</v>
      </c>
      <c r="L20" s="48">
        <f>+((C20+D20+E20+F20)-(G20+H20+I20+J20))*-1</f>
        <v>-4.5</v>
      </c>
      <c r="M20" s="35"/>
    </row>
    <row r="21" spans="1:13">
      <c r="A21" s="53" t="s">
        <v>37</v>
      </c>
      <c r="B21" s="34"/>
      <c r="C21" s="34"/>
      <c r="D21" s="34"/>
      <c r="E21" s="34"/>
      <c r="F21" s="34"/>
      <c r="G21" s="35"/>
      <c r="H21" s="35"/>
      <c r="I21" s="35"/>
      <c r="J21" s="35"/>
      <c r="K21" s="35">
        <f>SUM(G21:J21)</f>
        <v>0</v>
      </c>
      <c r="L21" s="48">
        <f>+((C21+D21+E21+F21)-(G21+H21+I21+J21))*-1</f>
        <v>0</v>
      </c>
      <c r="M21" s="35"/>
    </row>
    <row r="22" spans="1:13">
      <c r="A22" s="53" t="s">
        <v>38</v>
      </c>
      <c r="B22" s="34">
        <f>SUM(C22:F22)</f>
        <v>40</v>
      </c>
      <c r="C22" s="34">
        <v>10</v>
      </c>
      <c r="D22" s="34">
        <v>10</v>
      </c>
      <c r="E22" s="34">
        <v>10</v>
      </c>
      <c r="F22" s="34">
        <v>10</v>
      </c>
      <c r="G22" s="38">
        <v>3</v>
      </c>
      <c r="H22" s="35">
        <v>10</v>
      </c>
      <c r="I22" s="35">
        <v>3</v>
      </c>
      <c r="J22" s="35">
        <v>24</v>
      </c>
      <c r="K22" s="35">
        <f>SUM(G22:J22)</f>
        <v>40</v>
      </c>
      <c r="L22" s="48">
        <f>+((C22+D22+E22+F22)-(G22+H22+I22+J22))*-1</f>
        <v>0</v>
      </c>
      <c r="M22" s="35">
        <v>23</v>
      </c>
    </row>
    <row r="23" spans="1:13">
      <c r="A23" s="54" t="s">
        <v>39</v>
      </c>
      <c r="B23" s="147">
        <f t="shared" ref="B23:J23" si="3">SUM(B8:B22)</f>
        <v>220</v>
      </c>
      <c r="C23" s="147">
        <f>SUM(C8:C22)</f>
        <v>46</v>
      </c>
      <c r="D23" s="147">
        <f>SUM(D8:D22)</f>
        <v>54</v>
      </c>
      <c r="E23" s="147">
        <f>SUM(E8:E22)</f>
        <v>56</v>
      </c>
      <c r="F23" s="147">
        <f>SUM(F8:F22)</f>
        <v>64</v>
      </c>
      <c r="G23" s="147">
        <f>SUM(G8:G22)</f>
        <v>20.5</v>
      </c>
      <c r="H23" s="147">
        <f>SUM(H8:H22)</f>
        <v>36</v>
      </c>
      <c r="I23" s="147">
        <f>SUM(I8:I22)</f>
        <v>31.5</v>
      </c>
      <c r="J23" s="147">
        <f>SUM(J8:J22)</f>
        <v>63</v>
      </c>
      <c r="K23" s="108">
        <f>SUM(G23:J23)</f>
        <v>151</v>
      </c>
      <c r="L23" s="48">
        <f>+((C23+D23+E23+F23)-(G23+H23+I23+J23))*-1</f>
        <v>-69</v>
      </c>
      <c r="M23" s="147">
        <f>SUM(M8:M22)</f>
        <v>287</v>
      </c>
    </row>
    <row r="24" spans="1:15">
      <c r="A24" s="148" t="s">
        <v>40</v>
      </c>
      <c r="B24" s="149"/>
      <c r="C24" s="23" t="s">
        <v>14</v>
      </c>
      <c r="D24" s="23"/>
      <c r="E24" s="23"/>
      <c r="F24" s="24"/>
      <c r="G24" s="11" t="s">
        <v>15</v>
      </c>
      <c r="H24" s="23"/>
      <c r="I24" s="23"/>
      <c r="J24" s="24"/>
      <c r="K24" s="63"/>
      <c r="L24" s="64"/>
      <c r="M24" s="107"/>
      <c r="N24" s="111"/>
      <c r="O24" s="90"/>
    </row>
    <row r="25" ht="25.5" spans="1:15">
      <c r="A25" s="25" t="s">
        <v>16</v>
      </c>
      <c r="B25" s="25" t="s">
        <v>17</v>
      </c>
      <c r="C25" s="25" t="s">
        <v>18</v>
      </c>
      <c r="D25" s="25" t="s">
        <v>122</v>
      </c>
      <c r="E25" s="25" t="s">
        <v>123</v>
      </c>
      <c r="F25" s="25" t="s">
        <v>107</v>
      </c>
      <c r="G25" s="25" t="s">
        <v>18</v>
      </c>
      <c r="H25" s="25" t="s">
        <v>122</v>
      </c>
      <c r="I25" s="25" t="s">
        <v>123</v>
      </c>
      <c r="J25" s="25" t="s">
        <v>107</v>
      </c>
      <c r="K25" s="25" t="s">
        <v>22</v>
      </c>
      <c r="L25" s="25" t="s">
        <v>41</v>
      </c>
      <c r="M25" s="25" t="s">
        <v>42</v>
      </c>
      <c r="N25" s="89"/>
      <c r="O25" s="90"/>
    </row>
    <row r="26" spans="1:15">
      <c r="A26" s="29" t="s">
        <v>25</v>
      </c>
      <c r="B26" s="48">
        <f>SUM(C26:F26)</f>
        <v>10.75</v>
      </c>
      <c r="C26" s="35">
        <v>2.25</v>
      </c>
      <c r="D26" s="34">
        <v>2.7</v>
      </c>
      <c r="E26" s="34">
        <v>2.3</v>
      </c>
      <c r="F26" s="34">
        <v>3.5</v>
      </c>
      <c r="G26" s="49">
        <f>(26400+17100+27600)/100000</f>
        <v>0.711</v>
      </c>
      <c r="H26" s="50">
        <f>(25920+44700+20200+74000+17200+44650+53200+16300+20400)/100000</f>
        <v>3.1657</v>
      </c>
      <c r="I26" s="50">
        <f>(29620+19200+51400+30300+31100+12500)/100000</f>
        <v>1.7412</v>
      </c>
      <c r="J26" s="50">
        <f>(100300+23700+38400+37200+63620+24100)/100000</f>
        <v>2.8732</v>
      </c>
      <c r="K26" s="50">
        <f t="shared" ref="K26:K40" si="4">SUM(G26:J26)</f>
        <v>8.4911</v>
      </c>
      <c r="L26" s="50">
        <f>+((C26+D26+E26+F26)-(G26+H26+I26+J26))*-1</f>
        <v>-2.2589</v>
      </c>
      <c r="M26" s="91">
        <f>+K26/B26</f>
        <v>0.789869767441861</v>
      </c>
      <c r="N26" s="89"/>
      <c r="O26" s="90"/>
    </row>
    <row r="27" spans="1:15">
      <c r="A27" s="29" t="s">
        <v>26</v>
      </c>
      <c r="B27" s="48">
        <f t="shared" ref="B27:B40" si="5">SUM(C27:F27)</f>
        <v>11.75</v>
      </c>
      <c r="C27" s="35">
        <v>2.25</v>
      </c>
      <c r="D27" s="34">
        <v>3.25</v>
      </c>
      <c r="E27" s="34">
        <v>2.5</v>
      </c>
      <c r="F27" s="34">
        <v>3.75</v>
      </c>
      <c r="G27" s="129">
        <f>(42400+4400+18500)/100000</f>
        <v>0.653</v>
      </c>
      <c r="H27" s="130">
        <f>(48400+46840+66600+67500+41700+46100+44800+46940+21400)/100000</f>
        <v>4.3028</v>
      </c>
      <c r="I27" s="50">
        <f>(53000+19600+33700+48800+56000+92900)/100000</f>
        <v>3.04</v>
      </c>
      <c r="J27" s="134">
        <f>(93900+25300+47900+73300+38600+14500)/100000</f>
        <v>2.935</v>
      </c>
      <c r="K27" s="50">
        <f>SUM(G27:J27)</f>
        <v>10.9308</v>
      </c>
      <c r="L27" s="50">
        <f t="shared" ref="L27:L41" si="6">+((C27+D27+E27+F27)-(G27+H27+I27+J27))*-1</f>
        <v>-0.8192</v>
      </c>
      <c r="M27" s="91">
        <f>+K27/B27</f>
        <v>0.93028085106383</v>
      </c>
      <c r="N27" s="92"/>
      <c r="O27" s="93"/>
    </row>
    <row r="28" spans="1:15">
      <c r="A28" s="29" t="s">
        <v>27</v>
      </c>
      <c r="B28" s="48">
        <f>SUM(C28:F28)</f>
        <v>9</v>
      </c>
      <c r="C28" s="34">
        <v>1.5</v>
      </c>
      <c r="D28" s="34">
        <v>2.5</v>
      </c>
      <c r="E28" s="34">
        <v>2</v>
      </c>
      <c r="F28" s="34">
        <v>3</v>
      </c>
      <c r="G28" s="129">
        <f>(29720+41800+17700)/100000</f>
        <v>0.8922</v>
      </c>
      <c r="H28" s="50">
        <f>(16500+25400+23835+52800+12900+33700+22300+29000+14500)/100000</f>
        <v>2.30935</v>
      </c>
      <c r="I28" s="50">
        <f>(22900+22800+63900+22400+59300+70500)/100000</f>
        <v>2.618</v>
      </c>
      <c r="J28" s="134">
        <f>(40600+130400+29100+38200+23400+65200)/100000</f>
        <v>3.269</v>
      </c>
      <c r="K28" s="50">
        <f>SUM(G28:J28)</f>
        <v>9.08855</v>
      </c>
      <c r="L28" s="50">
        <f>+((C28+D28+E28+F28)-(G28+H28+I28+J28))*-1</f>
        <v>0.0885499999999997</v>
      </c>
      <c r="M28" s="91">
        <f t="shared" ref="M28:M41" si="7">+K28/B28</f>
        <v>1.00983888888889</v>
      </c>
      <c r="N28" s="92"/>
      <c r="O28" s="93"/>
    </row>
    <row r="29" spans="1:15">
      <c r="A29" s="29" t="s">
        <v>28</v>
      </c>
      <c r="B29" s="48">
        <f>SUM(C29:F29)</f>
        <v>8.5</v>
      </c>
      <c r="C29" s="34">
        <v>1.5</v>
      </c>
      <c r="D29" s="34">
        <v>2.25</v>
      </c>
      <c r="E29" s="34">
        <v>2</v>
      </c>
      <c r="F29" s="34">
        <v>2.75</v>
      </c>
      <c r="G29" s="129">
        <f>(12300+9900+12300)/100000</f>
        <v>0.345</v>
      </c>
      <c r="H29" s="140">
        <f>(21200+18750+36000+85600+18550+20100+19500+17700+20600)/100000</f>
        <v>2.58</v>
      </c>
      <c r="I29" s="50">
        <f>(13520+13600+16100+13700+22400+28300)/100000</f>
        <v>1.0762</v>
      </c>
      <c r="J29" s="134">
        <f>(46400+11800+23100+72000+90600+32300)/100000</f>
        <v>2.762</v>
      </c>
      <c r="K29" s="50">
        <f>SUM(G29:J29)</f>
        <v>6.7632</v>
      </c>
      <c r="L29" s="50">
        <f>+((C29+D29+E29+F29)-(G29+H29+I29+J29))*-1</f>
        <v>-1.7368</v>
      </c>
      <c r="M29" s="91">
        <f>+K29/B29</f>
        <v>0.795670588235294</v>
      </c>
      <c r="N29" s="92"/>
      <c r="O29" s="93"/>
    </row>
    <row r="30" spans="1:15">
      <c r="A30" s="29" t="s">
        <v>29</v>
      </c>
      <c r="B30" s="48">
        <f>SUM(C30:F30)</f>
        <v>4</v>
      </c>
      <c r="C30" s="34">
        <v>0.75</v>
      </c>
      <c r="D30" s="34">
        <v>1.5</v>
      </c>
      <c r="E30" s="34">
        <v>0.75</v>
      </c>
      <c r="F30" s="34">
        <v>1</v>
      </c>
      <c r="G30" s="129">
        <f>(8800+6000+48000)/100000</f>
        <v>0.628</v>
      </c>
      <c r="H30" s="50">
        <f>(15400+4000+14100+4000+3000+28450+4000)/100000</f>
        <v>0.7295</v>
      </c>
      <c r="I30" s="50">
        <f>(4000+8400+48000+8400)/100000</f>
        <v>0.688</v>
      </c>
      <c r="J30" s="134">
        <f>(64400+4000+2000+8800+80800)/100000</f>
        <v>1.6</v>
      </c>
      <c r="K30" s="50">
        <f>SUM(G30:J30)</f>
        <v>3.6455</v>
      </c>
      <c r="L30" s="50">
        <f>+((C30+D30+E30+F30)-(G30+H30+I30+J30))*-1</f>
        <v>-0.3545</v>
      </c>
      <c r="M30" s="91">
        <f>+K30/B30</f>
        <v>0.911375</v>
      </c>
      <c r="N30" s="92"/>
      <c r="O30" s="93"/>
    </row>
    <row r="31" spans="1:15">
      <c r="A31" s="29" t="s">
        <v>87</v>
      </c>
      <c r="B31" s="48">
        <f>SUM(C31:F31)</f>
        <v>3</v>
      </c>
      <c r="C31" s="34">
        <v>0.75</v>
      </c>
      <c r="D31" s="34">
        <v>0.75</v>
      </c>
      <c r="E31" s="34">
        <v>0.75</v>
      </c>
      <c r="F31" s="34">
        <v>0.75</v>
      </c>
      <c r="G31" s="129">
        <f>(4700+7700+10000)/100000</f>
        <v>0.224</v>
      </c>
      <c r="H31" s="50">
        <f>(4700+13650+18100+11700+13600+7700+28150+6200+15200)/100000</f>
        <v>1.19</v>
      </c>
      <c r="I31" s="50">
        <f>(4150+11000+86200+44000+29450+9700)/100000</f>
        <v>1.845</v>
      </c>
      <c r="J31" s="134">
        <f>(5050+7200+6150+17100+18420+4100)/100000</f>
        <v>0.5802</v>
      </c>
      <c r="K31" s="50">
        <f>SUM(G31:J31)</f>
        <v>3.8392</v>
      </c>
      <c r="L31" s="50">
        <f>+((C31+D31+E31+F31)-(G31+H31+I31+J31))*-1</f>
        <v>0.8392</v>
      </c>
      <c r="M31" s="91">
        <f>+K31/B31</f>
        <v>1.27973333333333</v>
      </c>
      <c r="N31" s="92"/>
      <c r="O31" s="93"/>
    </row>
    <row r="32" spans="1:15">
      <c r="A32" s="51" t="s">
        <v>30</v>
      </c>
      <c r="B32" s="48">
        <f>SUM(C32:F32)</f>
        <v>9.3</v>
      </c>
      <c r="C32" s="35">
        <v>2.05</v>
      </c>
      <c r="D32" s="52">
        <v>2.5</v>
      </c>
      <c r="E32" s="52">
        <v>1.75</v>
      </c>
      <c r="F32" s="52">
        <v>3</v>
      </c>
      <c r="G32" s="129">
        <f>(27000+79000)/100000</f>
        <v>1.06</v>
      </c>
      <c r="H32" s="50">
        <f>(28200+5000+32000+156500+23800+15000+110000+11400+5000)/100000</f>
        <v>3.869</v>
      </c>
      <c r="I32" s="50">
        <f>(7300+27600+99600+19600+62870+4500)/100000</f>
        <v>2.2147</v>
      </c>
      <c r="J32" s="134">
        <f>(158900+5600+47500+5600+63800+13600)/100000</f>
        <v>2.95</v>
      </c>
      <c r="K32" s="50">
        <f>SUM(G32:J32)</f>
        <v>10.0937</v>
      </c>
      <c r="L32" s="50">
        <f>+((C32+D32+E32+F32)-(G32+H32+I32+J32))*-1</f>
        <v>0.793700000000001</v>
      </c>
      <c r="M32" s="91">
        <f>+K32/B32</f>
        <v>1.08534408602151</v>
      </c>
      <c r="N32" s="94"/>
      <c r="O32" s="95"/>
    </row>
    <row r="33" spans="1:15">
      <c r="A33" s="51" t="s">
        <v>31</v>
      </c>
      <c r="B33" s="48">
        <f>SUM(C33:F33)</f>
        <v>5.75</v>
      </c>
      <c r="C33" s="35">
        <v>1</v>
      </c>
      <c r="D33" s="52">
        <v>1.5</v>
      </c>
      <c r="E33" s="52">
        <v>1</v>
      </c>
      <c r="F33" s="52">
        <v>2.25</v>
      </c>
      <c r="G33" s="129">
        <f>(20200+20400+26400)/100000</f>
        <v>0.67</v>
      </c>
      <c r="H33" s="50">
        <f>(29700+29400+22200+19500+36100+19500+26000+31200+22500)/100000</f>
        <v>2.361</v>
      </c>
      <c r="I33" s="50">
        <f>(21750+17950+25400+28400+31700+21700)/100000</f>
        <v>1.469</v>
      </c>
      <c r="J33" s="134">
        <f>(53560+16800+24500+14100+19000+19300)/100000</f>
        <v>1.4726</v>
      </c>
      <c r="K33" s="50">
        <f>SUM(G33:J33)</f>
        <v>5.9726</v>
      </c>
      <c r="L33" s="50">
        <f>+((C33+D33+E33+F33)-(G33+H33+I33+J33))*-1</f>
        <v>0.2226</v>
      </c>
      <c r="M33" s="91">
        <f>+K33/B33</f>
        <v>1.03871304347826</v>
      </c>
      <c r="N33" s="92"/>
      <c r="O33" s="93"/>
    </row>
    <row r="34" spans="1:15">
      <c r="A34" s="51" t="s">
        <v>141</v>
      </c>
      <c r="B34" s="48">
        <f>SUM(C34:F34)</f>
        <v>9</v>
      </c>
      <c r="C34" s="35">
        <v>2</v>
      </c>
      <c r="D34" s="52">
        <v>2.75</v>
      </c>
      <c r="E34" s="52">
        <v>1.5</v>
      </c>
      <c r="F34" s="52">
        <v>2.75</v>
      </c>
      <c r="G34" s="129">
        <f>(41800+23800+41369)/100000</f>
        <v>1.06969</v>
      </c>
      <c r="H34" s="50">
        <f>(29600+35950+15600+31350+27917+26750+59300+16748+42550)/100000</f>
        <v>2.85765</v>
      </c>
      <c r="I34" s="50">
        <f>(23969+24400+18200+22500+17100+33130)/100000</f>
        <v>1.39299</v>
      </c>
      <c r="J34" s="134">
        <f>(36200+23140+44800+23800+26100+26280)/100000</f>
        <v>1.8032</v>
      </c>
      <c r="K34" s="50">
        <f>SUM(G34:J34)</f>
        <v>7.12353</v>
      </c>
      <c r="L34" s="50">
        <f>+((C34+D34+E34+F34)-(G34+H34+I34+J34))*-1</f>
        <v>-1.87647</v>
      </c>
      <c r="M34" s="91">
        <f>+K34/B34</f>
        <v>0.791503333333333</v>
      </c>
      <c r="N34" s="92"/>
      <c r="O34" s="93"/>
    </row>
    <row r="35" spans="1:15">
      <c r="A35" s="51" t="s">
        <v>98</v>
      </c>
      <c r="B35" s="48">
        <f>SUM(C35:F35)</f>
        <v>5.5</v>
      </c>
      <c r="C35" s="35">
        <v>1.25</v>
      </c>
      <c r="D35" s="52">
        <v>1.25</v>
      </c>
      <c r="E35" s="52">
        <v>1.5</v>
      </c>
      <c r="F35" s="52">
        <v>1.5</v>
      </c>
      <c r="G35" s="129">
        <f>(24000+18000+34150)/100000</f>
        <v>0.7615</v>
      </c>
      <c r="H35" s="50">
        <f>(20800+19368+60800+26800+16700+14700+20850+44330+14400)/100000</f>
        <v>2.38748</v>
      </c>
      <c r="I35" s="50">
        <f>(20400+22200+17300+15500+21400+21400)/100000</f>
        <v>1.182</v>
      </c>
      <c r="J35" s="134">
        <f>(38000+27800+20980+21790+16900+24500)/100000</f>
        <v>1.4997</v>
      </c>
      <c r="K35" s="50">
        <f>SUM(G35:J35)</f>
        <v>5.83068</v>
      </c>
      <c r="L35" s="50">
        <f>+((C35+D35+E35+F35)-(G35+H35+I35+J35))*-1</f>
        <v>0.33068</v>
      </c>
      <c r="M35" s="91">
        <f>+K35/B35</f>
        <v>1.06012363636364</v>
      </c>
      <c r="N35" s="92"/>
      <c r="O35" s="93"/>
    </row>
    <row r="36" spans="1:15">
      <c r="A36" s="51" t="s">
        <v>132</v>
      </c>
      <c r="B36" s="48">
        <f>SUM(C36:F36)</f>
        <v>7.5</v>
      </c>
      <c r="C36" s="35">
        <v>1.75</v>
      </c>
      <c r="D36" s="52">
        <v>1.75</v>
      </c>
      <c r="E36" s="52">
        <v>1.5</v>
      </c>
      <c r="F36" s="52">
        <v>2.5</v>
      </c>
      <c r="G36" s="129">
        <f>(20800+22750+19830)/100000</f>
        <v>0.6338</v>
      </c>
      <c r="H36" s="50">
        <f>(14000+41000+18450+59900+17200+41750+18200+15300+13850)/100000</f>
        <v>2.3965</v>
      </c>
      <c r="I36" s="50">
        <f>(17000+27900+25800+31700+17200+22600)/100000</f>
        <v>1.422</v>
      </c>
      <c r="J36" s="134">
        <f>(14700+8500+16150+19700+79500+21000)/100000</f>
        <v>1.5955</v>
      </c>
      <c r="K36" s="50">
        <f>SUM(G36:J36)</f>
        <v>6.0478</v>
      </c>
      <c r="L36" s="50">
        <f>+((C36+D36+E36+F36)-(G36+H36+I36+J36))*-1</f>
        <v>-1.4522</v>
      </c>
      <c r="M36" s="91">
        <f>+K36/B36</f>
        <v>0.806373333333333</v>
      </c>
      <c r="N36" s="92"/>
      <c r="O36" s="93"/>
    </row>
    <row r="37" spans="1:15">
      <c r="A37" s="51" t="s">
        <v>88</v>
      </c>
      <c r="B37" s="48">
        <f ca="1">SUM(C37:D37:E37:F37)</f>
        <v>5.25</v>
      </c>
      <c r="C37" s="35">
        <v>1</v>
      </c>
      <c r="D37" s="52">
        <v>1.25</v>
      </c>
      <c r="E37" s="52">
        <v>1.25</v>
      </c>
      <c r="F37" s="52">
        <v>1.75</v>
      </c>
      <c r="G37" s="129">
        <f>(13350+14400+200)/100000</f>
        <v>0.2795</v>
      </c>
      <c r="H37" s="50">
        <f>(33100+21700+20300+27650+25500+16200+12600+26300+16300)/100000</f>
        <v>1.9965</v>
      </c>
      <c r="I37" s="50">
        <f>(18500+18300+15820+18000+15500+18200)/100000</f>
        <v>1.0432</v>
      </c>
      <c r="J37" s="134">
        <f>(34000+22000+24500+21850+26700+19150)/100000</f>
        <v>1.482</v>
      </c>
      <c r="K37" s="50">
        <f>SUM(G37:J37)</f>
        <v>4.8012</v>
      </c>
      <c r="L37" s="50">
        <f>+((C37+D37+E37+F37)-(G37+H37+I37+J37))*-1</f>
        <v>-0.4488</v>
      </c>
      <c r="M37" s="91">
        <f ca="1">+K37/B37</f>
        <v>0.914514285714286</v>
      </c>
      <c r="N37" s="92"/>
      <c r="O37" s="93"/>
    </row>
    <row r="38" spans="1:15">
      <c r="A38" s="53" t="s">
        <v>37</v>
      </c>
      <c r="B38" s="48">
        <f>SUM(C38:F38)</f>
        <v>0.7</v>
      </c>
      <c r="C38" s="35">
        <v>0.1</v>
      </c>
      <c r="D38" s="52">
        <v>0.2</v>
      </c>
      <c r="E38" s="52">
        <v>0.2</v>
      </c>
      <c r="F38" s="52">
        <v>0.2</v>
      </c>
      <c r="G38" s="129">
        <f>(4400)/100000</f>
        <v>0.044</v>
      </c>
      <c r="H38" s="50">
        <f>(22000)/100000</f>
        <v>0.22</v>
      </c>
      <c r="I38" s="50">
        <f>(6600)/100000</f>
        <v>0.066</v>
      </c>
      <c r="J38" s="134">
        <f>(6600+2200)/100000</f>
        <v>0.088</v>
      </c>
      <c r="K38" s="50">
        <f>SUM(G38:J38)</f>
        <v>0.418</v>
      </c>
      <c r="L38" s="50">
        <f>+((C38+D38+E38+F38)-(G38+H38+I38+J38))*-1</f>
        <v>-0.282</v>
      </c>
      <c r="M38" s="91">
        <f>+K38/B38</f>
        <v>0.597142857142857</v>
      </c>
      <c r="N38" s="92"/>
      <c r="O38" s="93"/>
    </row>
    <row r="39" spans="1:15">
      <c r="A39" s="53" t="s">
        <v>35</v>
      </c>
      <c r="B39" s="48">
        <f>SUM(C39:F39)</f>
        <v>5</v>
      </c>
      <c r="C39" s="35">
        <v>1</v>
      </c>
      <c r="D39" s="52">
        <v>1.25</v>
      </c>
      <c r="E39" s="52">
        <v>1.25</v>
      </c>
      <c r="F39" s="52">
        <v>1.5</v>
      </c>
      <c r="G39" s="129">
        <f>(22000)/100000</f>
        <v>0.22</v>
      </c>
      <c r="H39" s="50">
        <f>(183000)/100000</f>
        <v>1.83</v>
      </c>
      <c r="I39" s="50">
        <f>(24440)/100000</f>
        <v>0.2444</v>
      </c>
      <c r="J39" s="134">
        <f>(103800+15+83600)/100000</f>
        <v>1.87415</v>
      </c>
      <c r="K39" s="50">
        <f>SUM(G39:J39)</f>
        <v>4.16855</v>
      </c>
      <c r="L39" s="50">
        <f>+((C39+D39+E39+F39)-(G39+H39+I39+J39))*-1</f>
        <v>-0.831449999999999</v>
      </c>
      <c r="M39" s="91">
        <f>+K39/B39</f>
        <v>0.83371</v>
      </c>
      <c r="N39" s="92"/>
      <c r="O39" s="93"/>
    </row>
    <row r="40" spans="1:15">
      <c r="A40" s="53" t="s">
        <v>38</v>
      </c>
      <c r="B40" s="48">
        <f>SUM(C40:F40)</f>
        <v>16</v>
      </c>
      <c r="C40" s="35">
        <v>2.5</v>
      </c>
      <c r="D40" s="52">
        <v>3.25</v>
      </c>
      <c r="E40" s="52">
        <v>4.25</v>
      </c>
      <c r="F40" s="52">
        <v>6</v>
      </c>
      <c r="G40" s="129">
        <f>(33000+36210+20170)/100000</f>
        <v>0.8938</v>
      </c>
      <c r="H40" s="50">
        <f>(32630+52700+87122+156500+23800+5400+72580+24400+17575)/100000</f>
        <v>4.72707</v>
      </c>
      <c r="I40" s="50">
        <f>(15780+23200+74520+101000+53200+136900)/100000</f>
        <v>4.046</v>
      </c>
      <c r="J40" s="134">
        <f>(213540+66775+80+27885+12100+305130+311575)/100000</f>
        <v>9.37085</v>
      </c>
      <c r="K40" s="50">
        <f>SUM(G40:J40)</f>
        <v>19.03772</v>
      </c>
      <c r="L40" s="50">
        <f>+((C40+D40+E40+F40)-(G40+H40+I40+J40))*-1</f>
        <v>3.03772</v>
      </c>
      <c r="M40" s="91">
        <f>+K40/B40</f>
        <v>1.1898575</v>
      </c>
      <c r="N40" s="92"/>
      <c r="O40" s="93"/>
    </row>
    <row r="41" spans="1:15">
      <c r="A41" s="54" t="s">
        <v>44</v>
      </c>
      <c r="B41" s="48">
        <f ca="1" t="shared" ref="B41:K41" si="8">SUM(B26:B40)</f>
        <v>111</v>
      </c>
      <c r="C41" s="35">
        <f>SUM(C26:C40)</f>
        <v>21.65</v>
      </c>
      <c r="D41" s="48">
        <f>SUM(D26:D40)</f>
        <v>28.65</v>
      </c>
      <c r="E41" s="48">
        <f>SUM(E26:E40)</f>
        <v>24.5</v>
      </c>
      <c r="F41" s="48">
        <f>SUM(F26:F40)</f>
        <v>36.2</v>
      </c>
      <c r="G41" s="131">
        <f>SUM(G26:G40)</f>
        <v>9.08549</v>
      </c>
      <c r="H41" s="50">
        <f>SUM(H26:H40)</f>
        <v>36.92255</v>
      </c>
      <c r="I41" s="50">
        <f>SUM(I26:I40)</f>
        <v>24.08869</v>
      </c>
      <c r="J41" s="134">
        <f>SUM(J26:J40)</f>
        <v>36.1554</v>
      </c>
      <c r="K41" s="135">
        <f>SUM(K26:K40)</f>
        <v>106.25213</v>
      </c>
      <c r="L41" s="50">
        <f>+((C41+D41+E41+F41)-(G41+H41+I41+J41))*-1</f>
        <v>-4.74787000000001</v>
      </c>
      <c r="M41" s="154">
        <f ca="1">+K41/B41</f>
        <v>0.957226396396396</v>
      </c>
      <c r="N41" s="92"/>
      <c r="O41" s="93"/>
    </row>
    <row r="42" spans="1:15">
      <c r="A42" s="55"/>
      <c r="B42" s="56"/>
      <c r="C42" s="57"/>
      <c r="N42" s="94"/>
      <c r="O42" s="95"/>
    </row>
    <row r="43" spans="14:15">
      <c r="N43" s="92"/>
      <c r="O43" s="93"/>
    </row>
    <row r="44" spans="14:15">
      <c r="N44" s="92"/>
      <c r="O44" s="93"/>
    </row>
    <row r="45" spans="14:15">
      <c r="N45" s="92"/>
      <c r="O45" s="93"/>
    </row>
    <row r="46" spans="14:15">
      <c r="N46" s="92"/>
      <c r="O46" s="93"/>
    </row>
    <row r="47" spans="14:15">
      <c r="N47" s="92"/>
      <c r="O47" s="93"/>
    </row>
    <row r="48" spans="14:15">
      <c r="N48" s="92"/>
      <c r="O48" s="93"/>
    </row>
    <row r="49" spans="14:15">
      <c r="N49" s="92"/>
      <c r="O49" s="93"/>
    </row>
    <row r="50" spans="14:15">
      <c r="N50" s="92"/>
      <c r="O50" s="93"/>
    </row>
    <row r="51" spans="14:15">
      <c r="N51" s="92"/>
      <c r="O51" s="93"/>
    </row>
    <row r="52" spans="14:15">
      <c r="N52" s="94"/>
      <c r="O52" s="95"/>
    </row>
    <row r="53" spans="14:15">
      <c r="N53" s="92"/>
      <c r="O53" s="93"/>
    </row>
    <row r="54" spans="14:15">
      <c r="N54" s="92"/>
      <c r="O54" s="93"/>
    </row>
    <row r="55" spans="14:15">
      <c r="N55" s="92"/>
      <c r="O55" s="93"/>
    </row>
    <row r="56" spans="14:15">
      <c r="N56" s="92"/>
      <c r="O56" s="93"/>
    </row>
    <row r="57" spans="14:15">
      <c r="N57" s="92"/>
      <c r="O57" s="93"/>
    </row>
    <row r="58" spans="14:15">
      <c r="N58" s="92"/>
      <c r="O58" s="93"/>
    </row>
    <row r="59" spans="14:15">
      <c r="N59" s="92"/>
      <c r="O59" s="93"/>
    </row>
    <row r="60" spans="14:15">
      <c r="N60" s="94"/>
      <c r="O60" s="95"/>
    </row>
    <row r="61" spans="14:15">
      <c r="N61" s="92"/>
      <c r="O61" s="93"/>
    </row>
    <row r="62" spans="14:15">
      <c r="N62" s="92"/>
      <c r="O62" s="93"/>
    </row>
    <row r="63" spans="14:15">
      <c r="N63" s="92"/>
      <c r="O63" s="93"/>
    </row>
    <row r="64" spans="14:15">
      <c r="N64" s="92"/>
      <c r="O64" s="93"/>
    </row>
    <row r="65" spans="14:15">
      <c r="N65" s="92"/>
      <c r="O65" s="93"/>
    </row>
    <row r="66" spans="14:15">
      <c r="N66" s="92"/>
      <c r="O66" s="93"/>
    </row>
    <row r="67" spans="14:15">
      <c r="N67" s="92"/>
      <c r="O67" s="93"/>
    </row>
    <row r="68" spans="14:15">
      <c r="N68" s="92"/>
      <c r="O68" s="96"/>
    </row>
  </sheetData>
  <mergeCells count="6">
    <mergeCell ref="B1:M1"/>
    <mergeCell ref="D5:F5"/>
    <mergeCell ref="C6:F6"/>
    <mergeCell ref="G6:J6"/>
    <mergeCell ref="C24:F24"/>
    <mergeCell ref="G24:J24"/>
  </mergeCells>
  <pageMargins left="0.708333333333333" right="0.708333333333333" top="0.747916666666667" bottom="0.747916666666667" header="0.314583333333333" footer="0.314583333333333"/>
  <pageSetup paperSize="9" scale="75" orientation="landscape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70"/>
  <sheetViews>
    <sheetView topLeftCell="A27" workbookViewId="0">
      <selection activeCell="A1" sqref="A1:M43"/>
    </sheetView>
  </sheetViews>
  <sheetFormatPr defaultColWidth="9" defaultRowHeight="15"/>
  <cols>
    <col min="1" max="1" width="18.8571428571429" style="1" customWidth="1"/>
    <col min="2" max="2" width="10.1428571428571" style="2" customWidth="1"/>
    <col min="3" max="3" width="9.42857142857143" style="1" customWidth="1"/>
    <col min="4" max="5" width="9.71428571428571" style="1" customWidth="1"/>
    <col min="6" max="6" width="10.2857142857143" style="1" customWidth="1"/>
    <col min="7" max="7" width="10" style="1" customWidth="1"/>
    <col min="8" max="8" width="10.2857142857143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spans="1:13">
      <c r="A1" s="125" t="s">
        <v>142</v>
      </c>
      <c r="B1" s="119" t="s">
        <v>143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spans="1:13">
      <c r="A2" s="6" t="s">
        <v>2</v>
      </c>
      <c r="B2" s="7">
        <f>+K24</f>
        <v>221</v>
      </c>
      <c r="C2" s="8"/>
      <c r="D2" s="8"/>
      <c r="E2" s="8"/>
      <c r="F2" s="8"/>
      <c r="G2" s="9"/>
      <c r="H2" s="145" t="s">
        <v>144</v>
      </c>
      <c r="I2" s="150"/>
      <c r="J2" s="145" t="s">
        <v>145</v>
      </c>
      <c r="K2" s="145" t="s">
        <v>146</v>
      </c>
      <c r="L2" s="145" t="s">
        <v>147</v>
      </c>
      <c r="M2" s="104"/>
    </row>
    <row r="3" ht="12" customHeight="1" spans="1:13">
      <c r="A3" s="6" t="s">
        <v>3</v>
      </c>
      <c r="B3" s="7">
        <f>+M24</f>
        <v>344</v>
      </c>
      <c r="C3" s="8"/>
      <c r="D3" s="8"/>
      <c r="E3" s="8"/>
      <c r="F3" s="8"/>
      <c r="G3" s="9"/>
      <c r="H3" s="146"/>
      <c r="I3" s="151"/>
      <c r="J3" s="152"/>
      <c r="K3" s="145"/>
      <c r="L3" s="145"/>
      <c r="M3" s="153"/>
    </row>
    <row r="4" spans="1:13">
      <c r="A4" s="6" t="s">
        <v>148</v>
      </c>
      <c r="B4" s="11"/>
      <c r="C4" s="12"/>
      <c r="D4" s="13" t="s">
        <v>119</v>
      </c>
      <c r="E4" s="12"/>
      <c r="F4" s="12"/>
      <c r="G4" s="14" t="s">
        <v>78</v>
      </c>
      <c r="H4" s="15"/>
      <c r="I4" s="62" t="s">
        <v>7</v>
      </c>
      <c r="J4" s="13">
        <f>+K43</f>
        <v>108.55917</v>
      </c>
      <c r="K4" s="12" t="s">
        <v>8</v>
      </c>
      <c r="L4" s="12" t="s">
        <v>149</v>
      </c>
      <c r="M4" s="106"/>
    </row>
    <row r="5" spans="1:13">
      <c r="A5" s="16" t="s">
        <v>10</v>
      </c>
      <c r="B5" s="17" t="s">
        <v>150</v>
      </c>
      <c r="C5" s="18" t="s">
        <v>151</v>
      </c>
      <c r="D5" s="19">
        <v>9612750</v>
      </c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5.5" spans="1:13">
      <c r="A7" s="25" t="s">
        <v>16</v>
      </c>
      <c r="B7" s="25" t="s">
        <v>17</v>
      </c>
      <c r="C7" s="25" t="s">
        <v>152</v>
      </c>
      <c r="D7" s="25" t="s">
        <v>153</v>
      </c>
      <c r="E7" s="25" t="s">
        <v>123</v>
      </c>
      <c r="F7" s="25" t="s">
        <v>130</v>
      </c>
      <c r="G7" s="25" t="s">
        <v>152</v>
      </c>
      <c r="H7" s="25" t="s">
        <v>154</v>
      </c>
      <c r="I7" s="25" t="s">
        <v>155</v>
      </c>
      <c r="J7" s="25" t="s">
        <v>131</v>
      </c>
      <c r="K7" s="25" t="s">
        <v>22</v>
      </c>
      <c r="L7" s="25" t="s">
        <v>23</v>
      </c>
      <c r="M7" s="25" t="s">
        <v>24</v>
      </c>
    </row>
    <row r="8" spans="1:13">
      <c r="A8" s="29" t="s">
        <v>25</v>
      </c>
      <c r="B8" s="34">
        <f>SUM(C8:F8)</f>
        <v>20</v>
      </c>
      <c r="C8" s="34">
        <v>5</v>
      </c>
      <c r="D8" s="34">
        <v>5</v>
      </c>
      <c r="E8" s="34">
        <v>5</v>
      </c>
      <c r="F8" s="34">
        <v>5</v>
      </c>
      <c r="G8" s="48"/>
      <c r="H8" s="48"/>
      <c r="I8" s="48"/>
      <c r="J8" s="48">
        <v>1</v>
      </c>
      <c r="K8" s="48">
        <f t="shared" ref="K8:K24" si="0">SUM(G8:J8)</f>
        <v>1</v>
      </c>
      <c r="L8" s="48">
        <f>+((C8+D8+E8+F8)-(G8+H8+I8+J8))*-1</f>
        <v>-19</v>
      </c>
      <c r="M8" s="48">
        <v>10</v>
      </c>
    </row>
    <row r="9" spans="1:13">
      <c r="A9" s="29" t="s">
        <v>26</v>
      </c>
      <c r="B9" s="34">
        <f t="shared" ref="B9:B23" si="1">SUM(C9:F9)</f>
        <v>20</v>
      </c>
      <c r="C9" s="34">
        <v>7</v>
      </c>
      <c r="D9" s="34">
        <v>7</v>
      </c>
      <c r="E9" s="34">
        <v>3</v>
      </c>
      <c r="F9" s="34">
        <v>3</v>
      </c>
      <c r="G9" s="48">
        <v>15</v>
      </c>
      <c r="H9" s="48">
        <v>3</v>
      </c>
      <c r="I9" s="48">
        <v>2</v>
      </c>
      <c r="J9" s="48"/>
      <c r="K9" s="48">
        <f>SUM(G9:J9)</f>
        <v>20</v>
      </c>
      <c r="L9" s="48">
        <f t="shared" ref="L9:L24" si="2">+((C9+D9+E9+F9)-(G9+H9+I9+J9))*-1</f>
        <v>0</v>
      </c>
      <c r="M9" s="48">
        <v>24</v>
      </c>
    </row>
    <row r="10" spans="1:17">
      <c r="A10" s="29" t="s">
        <v>27</v>
      </c>
      <c r="B10" s="34">
        <f>SUM(C10:F10)</f>
        <v>15</v>
      </c>
      <c r="C10" s="34">
        <v>2</v>
      </c>
      <c r="D10" s="34">
        <v>3</v>
      </c>
      <c r="E10" s="34">
        <v>5</v>
      </c>
      <c r="F10" s="34">
        <v>5</v>
      </c>
      <c r="G10" s="48">
        <v>1</v>
      </c>
      <c r="H10" s="48">
        <v>5</v>
      </c>
      <c r="I10" s="48"/>
      <c r="J10" s="48">
        <v>14</v>
      </c>
      <c r="K10" s="48">
        <f>SUM(G10:J10)</f>
        <v>20</v>
      </c>
      <c r="L10" s="48">
        <f>+((C10+D10+E10+F10)-(G10+H10+I10+J10))*-1</f>
        <v>5</v>
      </c>
      <c r="M10" s="48">
        <v>18</v>
      </c>
      <c r="Q10"/>
    </row>
    <row r="11" spans="1:13">
      <c r="A11" s="29" t="s">
        <v>28</v>
      </c>
      <c r="B11" s="34">
        <f>SUM(C11:F11)</f>
        <v>15</v>
      </c>
      <c r="C11" s="34">
        <v>2</v>
      </c>
      <c r="D11" s="34">
        <v>4</v>
      </c>
      <c r="E11" s="34">
        <v>4</v>
      </c>
      <c r="F11" s="34">
        <v>5</v>
      </c>
      <c r="G11" s="48"/>
      <c r="H11" s="48">
        <v>8</v>
      </c>
      <c r="I11" s="48"/>
      <c r="J11" s="48">
        <v>7.5</v>
      </c>
      <c r="K11" s="48">
        <f>SUM(G11:J11)</f>
        <v>15.5</v>
      </c>
      <c r="L11" s="48">
        <f>+((C11+D11+E11+F11)-(G11+H11+I11+J11))*-1</f>
        <v>0.5</v>
      </c>
      <c r="M11" s="48">
        <v>47</v>
      </c>
    </row>
    <row r="12" spans="1:13">
      <c r="A12" s="29" t="s">
        <v>29</v>
      </c>
      <c r="B12" s="34">
        <f>SUM(C12:F12)</f>
        <v>10</v>
      </c>
      <c r="C12" s="34">
        <v>2</v>
      </c>
      <c r="D12" s="34">
        <v>3</v>
      </c>
      <c r="E12" s="34">
        <v>3</v>
      </c>
      <c r="F12" s="34">
        <v>2</v>
      </c>
      <c r="G12" s="48"/>
      <c r="H12" s="48"/>
      <c r="I12" s="48">
        <v>0.5</v>
      </c>
      <c r="J12" s="48">
        <v>3</v>
      </c>
      <c r="K12" s="48">
        <f>SUM(G12:J12)</f>
        <v>3.5</v>
      </c>
      <c r="L12" s="48">
        <f>+((C12+D12+E12+F12)-(G12+H12+I12+J12))*-1</f>
        <v>-6.5</v>
      </c>
      <c r="M12" s="48"/>
    </row>
    <row r="13" spans="1:13">
      <c r="A13" s="29" t="s">
        <v>87</v>
      </c>
      <c r="B13" s="34">
        <f>SUM(C13:F13)</f>
        <v>12</v>
      </c>
      <c r="C13" s="34">
        <v>2</v>
      </c>
      <c r="D13" s="34">
        <v>4</v>
      </c>
      <c r="E13" s="34">
        <v>3</v>
      </c>
      <c r="F13" s="34">
        <v>3</v>
      </c>
      <c r="G13" s="48">
        <v>0.5</v>
      </c>
      <c r="H13" s="48">
        <v>1</v>
      </c>
      <c r="I13" s="48">
        <v>0.5</v>
      </c>
      <c r="J13" s="48">
        <v>7</v>
      </c>
      <c r="K13" s="48">
        <f>SUM(G13:J13)</f>
        <v>9</v>
      </c>
      <c r="L13" s="48">
        <f>+((C13+D13+E13+F13)-(G13+H13+I13+J13))*-1</f>
        <v>-3</v>
      </c>
      <c r="M13" s="48">
        <v>33</v>
      </c>
    </row>
    <row r="14" spans="1:13">
      <c r="A14" s="51" t="s">
        <v>30</v>
      </c>
      <c r="B14" s="34">
        <f>SUM(C14:F14)</f>
        <v>20</v>
      </c>
      <c r="C14" s="34">
        <v>7</v>
      </c>
      <c r="D14" s="34">
        <v>4</v>
      </c>
      <c r="E14" s="34">
        <v>4</v>
      </c>
      <c r="F14" s="34">
        <v>5</v>
      </c>
      <c r="G14" s="48">
        <v>1</v>
      </c>
      <c r="H14" s="48">
        <v>2</v>
      </c>
      <c r="I14" s="48">
        <v>5</v>
      </c>
      <c r="J14" s="48">
        <v>25</v>
      </c>
      <c r="K14" s="48">
        <f>SUM(G14:J14)</f>
        <v>33</v>
      </c>
      <c r="L14" s="48">
        <f>+((C14+D14+E14+F14)-(G14+H14+I14+J14))*-1</f>
        <v>13</v>
      </c>
      <c r="M14" s="48">
        <v>65</v>
      </c>
    </row>
    <row r="15" spans="1:13">
      <c r="A15" s="51" t="s">
        <v>31</v>
      </c>
      <c r="B15" s="34">
        <f>SUM(C15:F15)</f>
        <v>12</v>
      </c>
      <c r="C15" s="34">
        <v>2</v>
      </c>
      <c r="D15" s="34">
        <v>2</v>
      </c>
      <c r="E15" s="34">
        <v>4</v>
      </c>
      <c r="F15" s="34">
        <v>4</v>
      </c>
      <c r="G15" s="48">
        <v>10</v>
      </c>
      <c r="H15" s="48"/>
      <c r="I15" s="48">
        <v>1.5</v>
      </c>
      <c r="J15" s="48">
        <v>5</v>
      </c>
      <c r="K15" s="48">
        <f>SUM(G15:J15)</f>
        <v>16.5</v>
      </c>
      <c r="L15" s="48">
        <f>+((C15+D15+E15+F15)-(G15+H15+I15+J15))*-1</f>
        <v>4.5</v>
      </c>
      <c r="M15" s="48">
        <v>10</v>
      </c>
    </row>
    <row r="16" spans="1:13">
      <c r="A16" s="51" t="s">
        <v>156</v>
      </c>
      <c r="B16" s="34">
        <f>SUM(C16:F16)</f>
        <v>10</v>
      </c>
      <c r="C16" s="34">
        <v>1</v>
      </c>
      <c r="D16" s="34">
        <v>2</v>
      </c>
      <c r="E16" s="34">
        <v>2</v>
      </c>
      <c r="F16" s="137">
        <v>5</v>
      </c>
      <c r="G16" s="48"/>
      <c r="H16" s="48"/>
      <c r="I16" s="138">
        <v>5</v>
      </c>
      <c r="J16" s="48"/>
      <c r="K16" s="48">
        <f>SUM(G16:J16)</f>
        <v>5</v>
      </c>
      <c r="L16" s="48">
        <f>+((C16+D16+E16+F16)-(G16+H16+I16+J16))*-1</f>
        <v>-5</v>
      </c>
      <c r="M16" s="48">
        <v>48</v>
      </c>
    </row>
    <row r="17" spans="1:16">
      <c r="A17" s="51" t="s">
        <v>141</v>
      </c>
      <c r="B17" s="34">
        <f>SUM(C17:F17)</f>
        <v>10</v>
      </c>
      <c r="C17" s="34">
        <v>1</v>
      </c>
      <c r="D17" s="34">
        <v>2</v>
      </c>
      <c r="E17" s="34">
        <v>3</v>
      </c>
      <c r="F17" s="34">
        <v>4</v>
      </c>
      <c r="G17" s="48">
        <v>1.5</v>
      </c>
      <c r="H17" s="48">
        <v>1</v>
      </c>
      <c r="I17" s="48">
        <v>1</v>
      </c>
      <c r="J17" s="48">
        <v>7.5</v>
      </c>
      <c r="K17" s="48">
        <f>SUM(G17:J17)</f>
        <v>11</v>
      </c>
      <c r="L17" s="48">
        <f>+((C17+D17+E17+F17)-(G17+H17+I17+J17))*-1</f>
        <v>1</v>
      </c>
      <c r="M17" s="48">
        <v>18</v>
      </c>
      <c r="P17" s="139"/>
    </row>
    <row r="18" spans="1:13">
      <c r="A18" s="51" t="s">
        <v>98</v>
      </c>
      <c r="B18" s="34">
        <f>SUM(C18:F18)</f>
        <v>10</v>
      </c>
      <c r="C18" s="34">
        <v>1</v>
      </c>
      <c r="D18" s="34">
        <v>2</v>
      </c>
      <c r="E18" s="34">
        <v>3</v>
      </c>
      <c r="F18" s="34">
        <v>4</v>
      </c>
      <c r="G18" s="48"/>
      <c r="H18" s="48"/>
      <c r="I18" s="48">
        <v>0.5</v>
      </c>
      <c r="J18" s="48"/>
      <c r="K18" s="48">
        <f>SUM(G18:J18)</f>
        <v>0.5</v>
      </c>
      <c r="L18" s="48">
        <f>+((C18+D18+E18+F18)-(G18+H18+I18+J18))*-1</f>
        <v>-9.5</v>
      </c>
      <c r="M18" s="48">
        <v>17</v>
      </c>
    </row>
    <row r="19" customHeight="1" spans="1:13">
      <c r="A19" s="51" t="s">
        <v>88</v>
      </c>
      <c r="B19" s="34">
        <f>SUM(C19:F19)</f>
        <v>11</v>
      </c>
      <c r="C19" s="34">
        <v>2</v>
      </c>
      <c r="D19" s="34">
        <v>2</v>
      </c>
      <c r="E19" s="34">
        <v>3</v>
      </c>
      <c r="F19" s="34">
        <v>4</v>
      </c>
      <c r="G19" s="48"/>
      <c r="H19" s="48">
        <v>0.5</v>
      </c>
      <c r="I19" s="48">
        <v>5.5</v>
      </c>
      <c r="J19" s="48"/>
      <c r="K19" s="48">
        <f>SUM(G19:J19)</f>
        <v>6</v>
      </c>
      <c r="L19" s="48">
        <f>+((C19+D19+E19+F19)-(G19+H19+I19+J19))*-1</f>
        <v>-5</v>
      </c>
      <c r="M19" s="48">
        <v>15</v>
      </c>
    </row>
    <row r="20" ht="12.75" customHeight="1" spans="1:13">
      <c r="A20" s="51" t="s">
        <v>157</v>
      </c>
      <c r="B20" s="34"/>
      <c r="C20" s="34"/>
      <c r="D20" s="34"/>
      <c r="E20" s="34"/>
      <c r="F20" s="34"/>
      <c r="G20" s="48"/>
      <c r="H20" s="48">
        <v>4</v>
      </c>
      <c r="I20" s="48"/>
      <c r="J20" s="48">
        <v>1</v>
      </c>
      <c r="K20" s="48">
        <f>SUM(G20:J20)</f>
        <v>5</v>
      </c>
      <c r="L20" s="48">
        <f>+((C20+D20+E20+F20)-(G20+H20+I20+J20))*-1</f>
        <v>5</v>
      </c>
      <c r="M20" s="48"/>
    </row>
    <row r="21" ht="17.25" customHeight="1" spans="1:13">
      <c r="A21" s="53" t="s">
        <v>33</v>
      </c>
      <c r="B21" s="34">
        <f>SUM(C21:F21)</f>
        <v>15</v>
      </c>
      <c r="C21" s="34">
        <v>2</v>
      </c>
      <c r="D21" s="34">
        <v>3</v>
      </c>
      <c r="E21" s="34">
        <v>5</v>
      </c>
      <c r="F21" s="34">
        <v>5</v>
      </c>
      <c r="G21" s="35"/>
      <c r="H21" s="35">
        <v>1.5</v>
      </c>
      <c r="I21" s="35">
        <v>5</v>
      </c>
      <c r="J21" s="48">
        <v>25</v>
      </c>
      <c r="K21" s="48">
        <f>SUM(G21:J21)</f>
        <v>31.5</v>
      </c>
      <c r="L21" s="48">
        <f>+((C21+D21+E21+F21)-(G21+H21+I21+J21))*-1</f>
        <v>16.5</v>
      </c>
      <c r="M21" s="35">
        <v>25</v>
      </c>
    </row>
    <row r="22" spans="1:13">
      <c r="A22" s="53" t="s">
        <v>37</v>
      </c>
      <c r="B22" s="34"/>
      <c r="C22" s="34"/>
      <c r="D22" s="34"/>
      <c r="E22" s="34"/>
      <c r="F22" s="34"/>
      <c r="G22" s="35">
        <v>1</v>
      </c>
      <c r="H22" s="35"/>
      <c r="I22" s="35"/>
      <c r="J22" s="35">
        <v>2</v>
      </c>
      <c r="K22" s="48">
        <f>SUM(G22:J22)</f>
        <v>3</v>
      </c>
      <c r="L22" s="48">
        <f>+((C22+D22+E22+F22)-(G22+H22+I22+J22))*-1</f>
        <v>3</v>
      </c>
      <c r="M22" s="35"/>
    </row>
    <row r="23" spans="1:13">
      <c r="A23" s="53" t="s">
        <v>38</v>
      </c>
      <c r="B23" s="34">
        <f>SUM(C23:F23)</f>
        <v>40</v>
      </c>
      <c r="C23" s="34">
        <v>10</v>
      </c>
      <c r="D23" s="34">
        <v>10</v>
      </c>
      <c r="E23" s="34">
        <v>10</v>
      </c>
      <c r="F23" s="34">
        <v>10</v>
      </c>
      <c r="G23" s="38">
        <v>8</v>
      </c>
      <c r="H23" s="35">
        <v>8.5</v>
      </c>
      <c r="I23" s="35">
        <v>2</v>
      </c>
      <c r="J23" s="35">
        <v>22</v>
      </c>
      <c r="K23" s="48">
        <f>SUM(G23:J23)</f>
        <v>40.5</v>
      </c>
      <c r="L23" s="48">
        <f>+((C23+D23+E23+F23)-(G23+H23+I23+J23))*-1</f>
        <v>0.5</v>
      </c>
      <c r="M23" s="35">
        <v>14</v>
      </c>
    </row>
    <row r="24" spans="1:13">
      <c r="A24" s="54" t="s">
        <v>39</v>
      </c>
      <c r="B24" s="147">
        <f t="shared" ref="B24:J24" si="3">SUM(B8:B23)</f>
        <v>220</v>
      </c>
      <c r="C24" s="147">
        <f>SUM(C8:C23)</f>
        <v>46</v>
      </c>
      <c r="D24" s="147">
        <f>SUM(D8:D23)</f>
        <v>53</v>
      </c>
      <c r="E24" s="147">
        <f>SUM(E8:E23)</f>
        <v>57</v>
      </c>
      <c r="F24" s="147">
        <f>SUM(F8:F23)</f>
        <v>64</v>
      </c>
      <c r="G24" s="147">
        <f>SUM(G8:G23)</f>
        <v>38</v>
      </c>
      <c r="H24" s="147">
        <f>SUM(H8:H23)</f>
        <v>34.5</v>
      </c>
      <c r="I24" s="147">
        <f>SUM(I8:I23)</f>
        <v>28.5</v>
      </c>
      <c r="J24" s="147">
        <f>SUM(J8:J23)</f>
        <v>120</v>
      </c>
      <c r="K24" s="78">
        <f>SUM(G24:J24)</f>
        <v>221</v>
      </c>
      <c r="L24" s="48">
        <f>+((C24+D24+E24+F24)-(G24+H24+I24+J24))*-1</f>
        <v>1</v>
      </c>
      <c r="M24" s="147">
        <f>SUM(M8:M23)</f>
        <v>344</v>
      </c>
    </row>
    <row r="25" ht="12.75" customHeight="1" spans="1:15">
      <c r="A25" s="148" t="s">
        <v>40</v>
      </c>
      <c r="B25" s="149"/>
      <c r="C25" s="23" t="s">
        <v>14</v>
      </c>
      <c r="D25" s="23"/>
      <c r="E25" s="23"/>
      <c r="F25" s="24"/>
      <c r="G25" s="11" t="s">
        <v>15</v>
      </c>
      <c r="H25" s="23"/>
      <c r="I25" s="23"/>
      <c r="J25" s="24"/>
      <c r="K25" s="63"/>
      <c r="L25" s="64"/>
      <c r="M25" s="107"/>
      <c r="N25" s="111"/>
      <c r="O25" s="90"/>
    </row>
    <row r="26" ht="25.5" spans="1:15">
      <c r="A26" s="25" t="s">
        <v>16</v>
      </c>
      <c r="B26" s="25" t="s">
        <v>17</v>
      </c>
      <c r="C26" s="25" t="s">
        <v>152</v>
      </c>
      <c r="D26" s="25" t="s">
        <v>154</v>
      </c>
      <c r="E26" s="25" t="s">
        <v>123</v>
      </c>
      <c r="F26" s="25" t="s">
        <v>131</v>
      </c>
      <c r="G26" s="25" t="s">
        <v>152</v>
      </c>
      <c r="H26" s="25" t="s">
        <v>154</v>
      </c>
      <c r="I26" s="25" t="s">
        <v>123</v>
      </c>
      <c r="J26" s="25" t="s">
        <v>131</v>
      </c>
      <c r="K26" s="25" t="s">
        <v>22</v>
      </c>
      <c r="L26" s="25" t="s">
        <v>41</v>
      </c>
      <c r="M26" s="25" t="s">
        <v>42</v>
      </c>
      <c r="N26" s="89"/>
      <c r="O26" s="90"/>
    </row>
    <row r="27" customHeight="1" spans="1:15">
      <c r="A27" s="29" t="s">
        <v>25</v>
      </c>
      <c r="B27" s="48">
        <f>SUM(C27:F27)</f>
        <v>11.25</v>
      </c>
      <c r="C27" s="35">
        <v>2.25</v>
      </c>
      <c r="D27" s="34">
        <v>3</v>
      </c>
      <c r="E27" s="34">
        <v>2.5</v>
      </c>
      <c r="F27" s="34">
        <v>3.5</v>
      </c>
      <c r="G27" s="49">
        <f>(13100+27400+36540+16800+18200+33500+25800)/100000</f>
        <v>1.7134</v>
      </c>
      <c r="H27" s="50">
        <f>(40900+22300+15800+16700+33700+57900+27540)/100000</f>
        <v>2.1484</v>
      </c>
      <c r="I27" s="50">
        <f>(3600+42000+59600+29400)/100000</f>
        <v>1.346</v>
      </c>
      <c r="J27" s="50">
        <f>(161000+36950+30100+14100+25050+41100)/100000</f>
        <v>3.083</v>
      </c>
      <c r="K27" s="50">
        <f t="shared" ref="K27:K42" si="4">SUM(G27:J27)</f>
        <v>8.2908</v>
      </c>
      <c r="L27" s="50">
        <f>+((C27+D27+E27+F27)-(G27+H27+I27+J27))*-1</f>
        <v>-2.9592</v>
      </c>
      <c r="M27" s="91">
        <f>+K27/B27</f>
        <v>0.73696</v>
      </c>
      <c r="N27" s="89"/>
      <c r="O27" s="90"/>
    </row>
    <row r="28" ht="12.75" customHeight="1" spans="1:15">
      <c r="A28" s="29" t="s">
        <v>26</v>
      </c>
      <c r="B28" s="48">
        <f t="shared" ref="B28:B42" si="5">SUM(C28:F28)</f>
        <v>12.25</v>
      </c>
      <c r="C28" s="35">
        <v>2</v>
      </c>
      <c r="D28" s="34">
        <v>3.75</v>
      </c>
      <c r="E28" s="34">
        <v>2.75</v>
      </c>
      <c r="F28" s="34">
        <v>3.75</v>
      </c>
      <c r="G28" s="129">
        <f>(27700+83000+39100+25800+46140+21600+38800)/100000</f>
        <v>2.8214</v>
      </c>
      <c r="H28" s="130">
        <f>(66400+27600+46400+48400+23500+64400+50800)/100000</f>
        <v>3.275</v>
      </c>
      <c r="I28" s="50">
        <f>(22190+47000+47000+71400+37600+77500)/100000</f>
        <v>3.0269</v>
      </c>
      <c r="J28" s="134">
        <f>(125400+19400+26560+21000+8800+52200)/100000</f>
        <v>2.5336</v>
      </c>
      <c r="K28" s="50">
        <f>SUM(G28:J28)</f>
        <v>11.6569</v>
      </c>
      <c r="L28" s="50">
        <f t="shared" ref="L28:L43" si="6">+((C28+D28+E28+F28)-(G28+H28+I28+J28))*-1</f>
        <v>-0.5931</v>
      </c>
      <c r="M28" s="91">
        <f>+K28/B28</f>
        <v>0.951583673469388</v>
      </c>
      <c r="N28" s="92"/>
      <c r="O28" s="93"/>
    </row>
    <row r="29" ht="12.75" customHeight="1" spans="1:15">
      <c r="A29" s="29" t="s">
        <v>27</v>
      </c>
      <c r="B29" s="48">
        <f>SUM(C29:F29)</f>
        <v>9.5</v>
      </c>
      <c r="C29" s="34">
        <v>1.5</v>
      </c>
      <c r="D29" s="34">
        <v>2.75</v>
      </c>
      <c r="E29" s="34">
        <v>2</v>
      </c>
      <c r="F29" s="34">
        <v>3.25</v>
      </c>
      <c r="G29" s="129">
        <f>(19800+16100+15800+28200+27700+27100+36100)/100000</f>
        <v>1.708</v>
      </c>
      <c r="H29" s="50">
        <f>(41200+17800+22420+15000+30720+20000)/100000</f>
        <v>1.4714</v>
      </c>
      <c r="I29" s="50">
        <f>(19100+26500+64800+31700+23600+118700)/100000</f>
        <v>2.844</v>
      </c>
      <c r="J29" s="134">
        <f>(84800+44600+22400+37600+41300+73100)/100000</f>
        <v>3.038</v>
      </c>
      <c r="K29" s="50">
        <f>SUM(G29:J29)</f>
        <v>9.0614</v>
      </c>
      <c r="L29" s="50">
        <f>+((C29+D29+E29+F29)-(G29+H29+I29+J29))*-1</f>
        <v>-0.438599999999999</v>
      </c>
      <c r="M29" s="91">
        <f t="shared" ref="M29:M43" si="7">+K29/B29</f>
        <v>0.953831578947369</v>
      </c>
      <c r="N29" s="92"/>
      <c r="O29" s="93"/>
    </row>
    <row r="30" ht="12.75" customHeight="1" spans="1:15">
      <c r="A30" s="29" t="s">
        <v>28</v>
      </c>
      <c r="B30" s="48">
        <f>SUM(C30:F30)</f>
        <v>8.75</v>
      </c>
      <c r="C30" s="34">
        <v>1.5</v>
      </c>
      <c r="D30" s="34">
        <v>2.5</v>
      </c>
      <c r="E30" s="34">
        <v>2</v>
      </c>
      <c r="F30" s="34">
        <v>2.75</v>
      </c>
      <c r="G30" s="129">
        <f>(8300+19040+14800+21100+12000+27200+21800)/100000</f>
        <v>1.2424</v>
      </c>
      <c r="H30" s="140">
        <f>(117700+36000+21400+9500+27300+18400+10200)/100000</f>
        <v>2.405</v>
      </c>
      <c r="I30" s="50">
        <f>(24900+17900+22740+32400+28800+16200)/100000</f>
        <v>1.4294</v>
      </c>
      <c r="J30" s="134">
        <f>(31100+56300+28600+53600+134900)/100000</f>
        <v>3.045</v>
      </c>
      <c r="K30" s="50">
        <f>SUM(G30:J30)</f>
        <v>8.1218</v>
      </c>
      <c r="L30" s="50">
        <f>+((C30+D30+E30+F30)-(G30+H30+I30+J30))*-1</f>
        <v>-0.6282</v>
      </c>
      <c r="M30" s="91">
        <f>+K30/B30</f>
        <v>0.928205714285714</v>
      </c>
      <c r="N30" s="92"/>
      <c r="O30" s="93"/>
    </row>
    <row r="31" ht="12.75" customHeight="1" spans="1:15">
      <c r="A31" s="29" t="s">
        <v>29</v>
      </c>
      <c r="B31" s="48">
        <f>SUM(C31:F31)</f>
        <v>3.75</v>
      </c>
      <c r="C31" s="34">
        <v>0.75</v>
      </c>
      <c r="D31" s="34">
        <v>1.5</v>
      </c>
      <c r="E31" s="34">
        <v>0.5</v>
      </c>
      <c r="F31" s="34">
        <v>1</v>
      </c>
      <c r="G31" s="129">
        <f>(4000+3000+4000+3000+4500+7800+11800)/100000</f>
        <v>0.381</v>
      </c>
      <c r="H31" s="50">
        <f>(47000+3000+3000+11000+3000+4600)/100000</f>
        <v>0.716</v>
      </c>
      <c r="I31" s="50">
        <f>(49000+9300+9400+7400+5200)/100000</f>
        <v>0.803</v>
      </c>
      <c r="J31" s="134">
        <f>(63800+3000+3000+8000+20600+53400)/100000</f>
        <v>1.518</v>
      </c>
      <c r="K31" s="50">
        <f>SUM(G31:J31)</f>
        <v>3.418</v>
      </c>
      <c r="L31" s="50">
        <f>+((C31+D31+E31+F31)-(G31+H31+I31+J31))*-1</f>
        <v>-0.332</v>
      </c>
      <c r="M31" s="91">
        <f>+K31/B31</f>
        <v>0.911466666666667</v>
      </c>
      <c r="N31" s="92"/>
      <c r="O31" s="93"/>
    </row>
    <row r="32" ht="13.5" customHeight="1" spans="1:15">
      <c r="A32" s="29" t="s">
        <v>87</v>
      </c>
      <c r="B32" s="48">
        <f>SUM(C32:F32)</f>
        <v>3.5</v>
      </c>
      <c r="C32" s="34">
        <v>0.75</v>
      </c>
      <c r="D32" s="34">
        <v>1</v>
      </c>
      <c r="E32" s="34">
        <v>0.75</v>
      </c>
      <c r="F32" s="34">
        <v>1</v>
      </c>
      <c r="G32" s="129">
        <f>(4190+14600+10250+6800+15500+11100+14200)/100000</f>
        <v>0.7664</v>
      </c>
      <c r="H32" s="50">
        <f>(10100+11800+11200+14200+16330+12300+16100)/100000</f>
        <v>0.9203</v>
      </c>
      <c r="I32" s="50">
        <f>(11000+13000+42110+26040+4800+11100)/100000</f>
        <v>1.0805</v>
      </c>
      <c r="J32" s="134">
        <f>(72490+13800+15100+25400+18100+7500)/100000</f>
        <v>1.5239</v>
      </c>
      <c r="K32" s="50">
        <f>SUM(G32:J32)</f>
        <v>4.2911</v>
      </c>
      <c r="L32" s="50">
        <f>+((C32+D32+E32+F32)-(G32+H32+I32+J32))*-1</f>
        <v>0.7911</v>
      </c>
      <c r="M32" s="91">
        <f>+K32/B32</f>
        <v>1.22602857142857</v>
      </c>
      <c r="N32" s="92"/>
      <c r="O32" s="93"/>
    </row>
    <row r="33" spans="1:15">
      <c r="A33" s="51" t="s">
        <v>30</v>
      </c>
      <c r="B33" s="48">
        <f>SUM(C33:F33)</f>
        <v>10.25</v>
      </c>
      <c r="C33" s="35">
        <v>1.75</v>
      </c>
      <c r="D33" s="52">
        <v>3.25</v>
      </c>
      <c r="E33" s="52">
        <v>2</v>
      </c>
      <c r="F33" s="52">
        <v>3.25</v>
      </c>
      <c r="G33" s="129">
        <f>(12500+39200+34725+79200+5100+9000+21000)/100000</f>
        <v>2.00725</v>
      </c>
      <c r="H33" s="50">
        <f>(148800+2600+11000+3200+8600+93200+98960)/100000</f>
        <v>3.6636</v>
      </c>
      <c r="I33" s="50">
        <f>(5000+5000+29200+6000+49000+10500)/100000</f>
        <v>1.047</v>
      </c>
      <c r="J33" s="134">
        <f>(117300+23100+8000+3000+14650+38200)/100000</f>
        <v>2.0425</v>
      </c>
      <c r="K33" s="50">
        <f>SUM(G33:J33)</f>
        <v>8.76035</v>
      </c>
      <c r="L33" s="50">
        <f>+((C33+D33+E33+F33)-(G33+H33+I33+J33))*-1</f>
        <v>-1.48965</v>
      </c>
      <c r="M33" s="91">
        <f>+K33/B33</f>
        <v>0.854668292682927</v>
      </c>
      <c r="N33" s="94"/>
      <c r="O33" s="95"/>
    </row>
    <row r="34" spans="1:15">
      <c r="A34" s="51" t="s">
        <v>31</v>
      </c>
      <c r="B34" s="48">
        <f>SUM(C34:F34)</f>
        <v>6.75</v>
      </c>
      <c r="C34" s="35">
        <v>1.25</v>
      </c>
      <c r="D34" s="52">
        <v>2</v>
      </c>
      <c r="E34" s="52">
        <v>1.25</v>
      </c>
      <c r="F34" s="52">
        <v>2.25</v>
      </c>
      <c r="G34" s="129">
        <f>(18600+26300+34500+26100+30700+21500+16700)/100000</f>
        <v>1.744</v>
      </c>
      <c r="H34" s="50">
        <f>(23750+40200+18605+24450+58500+16050+23050)/100000</f>
        <v>2.04605</v>
      </c>
      <c r="I34" s="50">
        <f>(18550+19970+16950+61750+20500+17950)/100000</f>
        <v>1.5567</v>
      </c>
      <c r="J34" s="134">
        <f>(60550+21355+17950+26300+17400+24500)/100000</f>
        <v>1.68055</v>
      </c>
      <c r="K34" s="50">
        <f>SUM(G34:J34)</f>
        <v>7.0273</v>
      </c>
      <c r="L34" s="50">
        <f>+((C34+D34+E34+F34)-(G34+H34+I34+J34))*-1</f>
        <v>0.2773</v>
      </c>
      <c r="M34" s="91">
        <f>+K34/B34</f>
        <v>1.04108148148148</v>
      </c>
      <c r="N34" s="92"/>
      <c r="O34" s="93"/>
    </row>
    <row r="35" spans="1:15">
      <c r="A35" s="51" t="s">
        <v>141</v>
      </c>
      <c r="B35" s="48">
        <f>SUM(C35:F35)</f>
        <v>8.25</v>
      </c>
      <c r="C35" s="35">
        <v>2</v>
      </c>
      <c r="D35" s="52">
        <v>2.5</v>
      </c>
      <c r="E35" s="52">
        <v>1.25</v>
      </c>
      <c r="F35" s="52">
        <v>2.5</v>
      </c>
      <c r="G35" s="129">
        <f>(22200+25200+25950+18900+54800+59800+42320)/100000</f>
        <v>2.4917</v>
      </c>
      <c r="H35" s="50">
        <f>(20800+24700+18800+67700+17000+25400+21600)/100000</f>
        <v>1.96</v>
      </c>
      <c r="I35" s="50">
        <f>(11700+26000+43700+23500+43500+28500)/100000</f>
        <v>1.769</v>
      </c>
      <c r="J35" s="134">
        <f>(32700+46350+44500+42350+22800+21300)/100000</f>
        <v>2.1</v>
      </c>
      <c r="K35" s="50">
        <f>SUM(G35:J35)</f>
        <v>8.3207</v>
      </c>
      <c r="L35" s="50">
        <f>+((C35+D35+E35+F35)-(G35+H35+I35+J35))*-1</f>
        <v>0.0707000000000004</v>
      </c>
      <c r="M35" s="91">
        <f>+K35/B35</f>
        <v>1.0085696969697</v>
      </c>
      <c r="N35" s="92"/>
      <c r="O35" s="93"/>
    </row>
    <row r="36" ht="12" customHeight="1" spans="1:15">
      <c r="A36" s="51" t="s">
        <v>98</v>
      </c>
      <c r="B36" s="48">
        <f>SUM(C36:F36)</f>
        <v>5.75</v>
      </c>
      <c r="C36" s="35">
        <v>1.25</v>
      </c>
      <c r="D36" s="52">
        <v>1.5</v>
      </c>
      <c r="E36" s="52">
        <v>1.5</v>
      </c>
      <c r="F36" s="52">
        <v>1.5</v>
      </c>
      <c r="G36" s="129">
        <f>(19200+17750+11200+2000+29500+58500)/100000</f>
        <v>1.3815</v>
      </c>
      <c r="H36" s="50">
        <f>(18900+36400+24700+22000+18000+14600+13270)/100000</f>
        <v>1.4787</v>
      </c>
      <c r="I36" s="50">
        <f>(20600+19550+12050+19700+2900+11700)/100000</f>
        <v>0.865</v>
      </c>
      <c r="J36" s="134">
        <f>(23300+12800+32400+15300+11200+16600)/100000</f>
        <v>1.116</v>
      </c>
      <c r="K36" s="50">
        <f>SUM(G36:J36)</f>
        <v>4.8412</v>
      </c>
      <c r="L36" s="50">
        <f>+((C36+D36+E36+F36)-(G36+H36+I36+J36))*-1</f>
        <v>-0.908799999999999</v>
      </c>
      <c r="M36" s="91">
        <f>+K36/B36</f>
        <v>0.841947826086957</v>
      </c>
      <c r="N36" s="92"/>
      <c r="O36" s="93"/>
    </row>
    <row r="37" spans="1:15">
      <c r="A37" s="51" t="s">
        <v>156</v>
      </c>
      <c r="B37" s="48">
        <f>SUM(C37:F37)</f>
        <v>6.75</v>
      </c>
      <c r="C37" s="35">
        <v>1.5</v>
      </c>
      <c r="D37" s="52">
        <v>1.75</v>
      </c>
      <c r="E37" s="52">
        <v>1.5</v>
      </c>
      <c r="F37" s="52">
        <v>2</v>
      </c>
      <c r="G37" s="129">
        <f>(9800+19800+19550+8100+19500+54300+19500)/100000</f>
        <v>1.5055</v>
      </c>
      <c r="H37" s="50">
        <f>(56500+32000+33700+19050+24350+12600+16600)/100000</f>
        <v>1.948</v>
      </c>
      <c r="I37" s="50">
        <f>(34650+55955+13200+10000+13650+9600)/100000</f>
        <v>1.37055</v>
      </c>
      <c r="J37" s="134">
        <f>(11600+4300+21600+59500+9800+51200)/100000</f>
        <v>1.58</v>
      </c>
      <c r="K37" s="50">
        <f>SUM(G37:J37)</f>
        <v>6.40405</v>
      </c>
      <c r="L37" s="50">
        <f>+((C37+D37+E37+F37)-(G37+H37+I37+J37))*-1</f>
        <v>-0.34595</v>
      </c>
      <c r="M37" s="91">
        <f>+K37/B37</f>
        <v>0.948748148148148</v>
      </c>
      <c r="N37" s="92"/>
      <c r="O37" s="93"/>
    </row>
    <row r="38" spans="1:15">
      <c r="A38" s="51" t="s">
        <v>88</v>
      </c>
      <c r="B38" s="48">
        <f ca="1">SUM(C38:D38:E38:F38)</f>
        <v>5.25</v>
      </c>
      <c r="C38" s="35">
        <v>1</v>
      </c>
      <c r="D38" s="52">
        <v>1.25</v>
      </c>
      <c r="E38" s="52">
        <v>1.25</v>
      </c>
      <c r="F38" s="52">
        <v>1.75</v>
      </c>
      <c r="G38" s="129">
        <f>(9100+17400+21500+15448+23700+16200+8700)/100000</f>
        <v>1.12048</v>
      </c>
      <c r="H38" s="50">
        <f>(20040+37200+22700+16200+16400+11500+32800)/100000</f>
        <v>1.5684</v>
      </c>
      <c r="I38" s="50">
        <f>(19930+17900+31400+17500+12400+13700)/100000</f>
        <v>1.1283</v>
      </c>
      <c r="J38" s="134">
        <f>(45300+33500+18000+12100+7800+17000)/100000</f>
        <v>1.337</v>
      </c>
      <c r="K38" s="50">
        <f>SUM(G38:J38)</f>
        <v>5.15418</v>
      </c>
      <c r="L38" s="50">
        <f>+((C38+D38+E38+F38)-(G38+H38+I38+J38))*-1</f>
        <v>-0.0958199999999998</v>
      </c>
      <c r="M38" s="91">
        <f ca="1">+K38/B38</f>
        <v>0.981748571428571</v>
      </c>
      <c r="N38" s="92"/>
      <c r="O38" s="93"/>
    </row>
    <row r="39" ht="12" customHeight="1" spans="1:15">
      <c r="A39" s="51" t="s">
        <v>157</v>
      </c>
      <c r="B39" s="48">
        <f ca="1">SUM(C39:D39:E39:F39)</f>
        <v>1</v>
      </c>
      <c r="C39" s="35"/>
      <c r="D39" s="52">
        <v>0.25</v>
      </c>
      <c r="E39" s="52">
        <v>0.25</v>
      </c>
      <c r="F39" s="52">
        <v>0.5</v>
      </c>
      <c r="G39" s="129"/>
      <c r="H39" s="50">
        <f>(800)/100000</f>
        <v>0.008</v>
      </c>
      <c r="I39" s="50">
        <f>(6300+35100+3200+3000+10200+8500)/100000</f>
        <v>0.663</v>
      </c>
      <c r="J39" s="134">
        <f>(14700+4200+1500+1700+19100+5700)/100000</f>
        <v>0.469</v>
      </c>
      <c r="K39" s="50">
        <f>SUM(G39:J39)</f>
        <v>1.14</v>
      </c>
      <c r="L39" s="50">
        <f>+((C39+D39+E39+F39)-(G39+H39+I39+J39))*-1</f>
        <v>0.14</v>
      </c>
      <c r="M39" s="91">
        <f ca="1">+K39/B39</f>
        <v>1.14</v>
      </c>
      <c r="N39" s="92"/>
      <c r="O39" s="93"/>
    </row>
    <row r="40" spans="1:15">
      <c r="A40" s="53" t="s">
        <v>37</v>
      </c>
      <c r="B40" s="48">
        <f>SUM(C40:F40)</f>
        <v>0.5</v>
      </c>
      <c r="C40" s="35">
        <v>0.1</v>
      </c>
      <c r="D40" s="52">
        <v>0.2</v>
      </c>
      <c r="E40" s="52">
        <v>0.1</v>
      </c>
      <c r="F40" s="52">
        <v>0.1</v>
      </c>
      <c r="G40" s="129">
        <f>(13200+5000)/100000</f>
        <v>0.182</v>
      </c>
      <c r="H40" s="50"/>
      <c r="I40" s="50"/>
      <c r="J40" s="134">
        <f>(10000+2070)/100000</f>
        <v>0.1207</v>
      </c>
      <c r="K40" s="50">
        <f>SUM(G40:J40)</f>
        <v>0.3027</v>
      </c>
      <c r="L40" s="50">
        <f>+((C40+D40+E40+F40)-(G40+H40+I40+J40))*-1</f>
        <v>-0.1973</v>
      </c>
      <c r="M40" s="91">
        <f>+K40/B40</f>
        <v>0.6054</v>
      </c>
      <c r="N40" s="92"/>
      <c r="O40" s="93"/>
    </row>
    <row r="41" spans="1:15">
      <c r="A41" s="53" t="s">
        <v>35</v>
      </c>
      <c r="B41" s="48">
        <f>SUM(C41:F41)</f>
        <v>4.25</v>
      </c>
      <c r="C41" s="35">
        <v>1</v>
      </c>
      <c r="D41" s="52">
        <v>1</v>
      </c>
      <c r="E41" s="52">
        <v>1</v>
      </c>
      <c r="F41" s="52">
        <v>1.25</v>
      </c>
      <c r="G41" s="129">
        <f>(22000)/100000</f>
        <v>0.22</v>
      </c>
      <c r="H41" s="50">
        <f>(178200)/100000</f>
        <v>1.782</v>
      </c>
      <c r="I41" s="50">
        <f>(13200)/100000</f>
        <v>0.132</v>
      </c>
      <c r="J41" s="134">
        <f>(138600+13540+26400)/100000</f>
        <v>1.7854</v>
      </c>
      <c r="K41" s="50">
        <f>SUM(G41:J41)</f>
        <v>3.9194</v>
      </c>
      <c r="L41" s="50">
        <f>+((C41+D41+E41+F41)-(G41+H41+I41+J41))*-1</f>
        <v>-0.3306</v>
      </c>
      <c r="M41" s="91">
        <f>+K41/B41</f>
        <v>0.922211764705883</v>
      </c>
      <c r="N41" s="92"/>
      <c r="O41" s="93"/>
    </row>
    <row r="42" ht="12" customHeight="1" spans="1:15">
      <c r="A42" s="53" t="s">
        <v>38</v>
      </c>
      <c r="B42" s="48">
        <f>SUM(C42:F42)</f>
        <v>17.25</v>
      </c>
      <c r="C42" s="35">
        <v>2.25</v>
      </c>
      <c r="D42" s="52">
        <v>5</v>
      </c>
      <c r="E42" s="52">
        <v>4</v>
      </c>
      <c r="F42" s="52">
        <v>6</v>
      </c>
      <c r="G42" s="129">
        <f>(9488+17475+55600+30400+30020+21200+27740)/100000</f>
        <v>1.91923</v>
      </c>
      <c r="H42" s="50">
        <f>(24200+76600+69763+83120+59525+233400)/100000</f>
        <v>5.46608</v>
      </c>
      <c r="I42" s="50">
        <f>(102800+15100+169353+122820+165440+3300)/100000</f>
        <v>5.78813</v>
      </c>
      <c r="J42" s="134">
        <f>(111470+11400+96800+15+18600+229300)/100000</f>
        <v>4.67585</v>
      </c>
      <c r="K42" s="50">
        <f>SUM(G42:J42)</f>
        <v>17.84929</v>
      </c>
      <c r="L42" s="50">
        <f>+((C42+D42+E42+F42)-(G42+H42+I42+J42))*-1</f>
        <v>0.59929</v>
      </c>
      <c r="M42" s="91">
        <f>+K42/B42</f>
        <v>1.03474144927536</v>
      </c>
      <c r="N42" s="92"/>
      <c r="O42" s="93"/>
    </row>
    <row r="43" spans="1:15">
      <c r="A43" s="54" t="s">
        <v>44</v>
      </c>
      <c r="B43" s="48">
        <f ca="1" t="shared" ref="B43:K43" si="8">SUM(B27:B42)</f>
        <v>115</v>
      </c>
      <c r="C43" s="35">
        <f>SUM(C27:C42)</f>
        <v>20.85</v>
      </c>
      <c r="D43" s="48">
        <f>SUM(D27:D42)</f>
        <v>33.2</v>
      </c>
      <c r="E43" s="48">
        <f>SUM(E27:E42)</f>
        <v>24.6</v>
      </c>
      <c r="F43" s="48">
        <f>SUM(F27:F42)</f>
        <v>36.35</v>
      </c>
      <c r="G43" s="131">
        <f>SUM(G27:G42)</f>
        <v>21.20426</v>
      </c>
      <c r="H43" s="50">
        <f>SUM(H27:H42)</f>
        <v>30.85693</v>
      </c>
      <c r="I43" s="50">
        <f>SUM(I27:I42)</f>
        <v>24.84948</v>
      </c>
      <c r="J43" s="134">
        <f>SUM(J27:J42)</f>
        <v>31.6485</v>
      </c>
      <c r="K43" s="135">
        <f>SUM(K27:K42)</f>
        <v>108.55917</v>
      </c>
      <c r="L43" s="50">
        <f>+((C43+D43+E43+F43)-(G43+H43+I43+J43))*-1</f>
        <v>-6.44083000000001</v>
      </c>
      <c r="M43" s="154">
        <f ca="1">+K43/B43</f>
        <v>0.943992782608696</v>
      </c>
      <c r="N43" s="92"/>
      <c r="O43" s="93"/>
    </row>
    <row r="44" spans="1:15">
      <c r="A44" s="55"/>
      <c r="B44" s="56"/>
      <c r="C44" s="57"/>
      <c r="N44" s="94"/>
      <c r="O44" s="95"/>
    </row>
    <row r="45" spans="14:15">
      <c r="N45" s="92"/>
      <c r="O45" s="93"/>
    </row>
    <row r="46" spans="14:15">
      <c r="N46" s="92"/>
      <c r="O46" s="93"/>
    </row>
    <row r="47" spans="14:15">
      <c r="N47" s="92"/>
      <c r="O47" s="93"/>
    </row>
    <row r="48" spans="14:15">
      <c r="N48" s="92"/>
      <c r="O48" s="93"/>
    </row>
    <row r="49" spans="14:15">
      <c r="N49" s="92"/>
      <c r="O49" s="93"/>
    </row>
    <row r="50" spans="14:15">
      <c r="N50" s="92"/>
      <c r="O50" s="93"/>
    </row>
    <row r="51" spans="14:15">
      <c r="N51" s="92"/>
      <c r="O51" s="93"/>
    </row>
    <row r="52" spans="14:15">
      <c r="N52" s="92"/>
      <c r="O52" s="93"/>
    </row>
    <row r="53" spans="14:15">
      <c r="N53" s="92"/>
      <c r="O53" s="93"/>
    </row>
    <row r="54" spans="14:15">
      <c r="N54" s="94"/>
      <c r="O54" s="95"/>
    </row>
    <row r="55" spans="14:15">
      <c r="N55" s="92"/>
      <c r="O55" s="93"/>
    </row>
    <row r="56" spans="14:15">
      <c r="N56" s="92"/>
      <c r="O56" s="93"/>
    </row>
    <row r="57" spans="14:15">
      <c r="N57" s="92"/>
      <c r="O57" s="93"/>
    </row>
    <row r="58" spans="14:15">
      <c r="N58" s="92"/>
      <c r="O58" s="93"/>
    </row>
    <row r="59" spans="14:15">
      <c r="N59" s="92"/>
      <c r="O59" s="93"/>
    </row>
    <row r="60" spans="14:15">
      <c r="N60" s="92"/>
      <c r="O60" s="93"/>
    </row>
    <row r="61" spans="14:15">
      <c r="N61" s="92"/>
      <c r="O61" s="93"/>
    </row>
    <row r="62" spans="14:15">
      <c r="N62" s="94"/>
      <c r="O62" s="95"/>
    </row>
    <row r="63" spans="14:15">
      <c r="N63" s="92"/>
      <c r="O63" s="93"/>
    </row>
    <row r="64" spans="14:15">
      <c r="N64" s="92"/>
      <c r="O64" s="93"/>
    </row>
    <row r="65" spans="14:15">
      <c r="N65" s="92"/>
      <c r="O65" s="93"/>
    </row>
    <row r="66" spans="14:15">
      <c r="N66" s="92"/>
      <c r="O66" s="93"/>
    </row>
    <row r="67" spans="14:15">
      <c r="N67" s="92"/>
      <c r="O67" s="93"/>
    </row>
    <row r="68" spans="14:15">
      <c r="N68" s="92"/>
      <c r="O68" s="93"/>
    </row>
    <row r="69" spans="14:15">
      <c r="N69" s="92"/>
      <c r="O69" s="93"/>
    </row>
    <row r="70" spans="14:15">
      <c r="N70" s="92"/>
      <c r="O70" s="96"/>
    </row>
  </sheetData>
  <mergeCells count="6">
    <mergeCell ref="B1:M1"/>
    <mergeCell ref="D5:F5"/>
    <mergeCell ref="C6:F6"/>
    <mergeCell ref="G6:J6"/>
    <mergeCell ref="C25:F25"/>
    <mergeCell ref="G25:J25"/>
  </mergeCells>
  <pageMargins left="0.708333333333333" right="0.708333333333333" top="0.747916666666667" bottom="0.747916666666667" header="0.314583333333333" footer="0.314583333333333"/>
  <pageSetup paperSize="1" scale="80" orientation="landscape" verticalDpi="180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5"/>
  <sheetData/>
  <pageMargins left="0.699305555555556" right="0.699305555555556" top="0.75" bottom="0.75" header="0.3" footer="0.3"/>
  <pageSetup paperSize="9" orientation="portrait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81"/>
  <sheetViews>
    <sheetView topLeftCell="A42" workbookViewId="0">
      <selection activeCell="A1" sqref="A1:M54"/>
    </sheetView>
  </sheetViews>
  <sheetFormatPr defaultColWidth="9" defaultRowHeight="15"/>
  <cols>
    <col min="1" max="1" width="17.4285714285714" style="1" customWidth="1"/>
    <col min="2" max="2" width="9" style="2" customWidth="1"/>
    <col min="3" max="3" width="8.42857142857143" style="1" customWidth="1"/>
    <col min="4" max="4" width="8.57142857142857" style="1" customWidth="1"/>
    <col min="5" max="5" width="8.28571428571429" style="1" customWidth="1"/>
    <col min="6" max="6" width="8.71428571428571" style="1" customWidth="1"/>
    <col min="7" max="7" width="8.28571428571429" style="1" customWidth="1"/>
    <col min="8" max="8" width="8.85714285714286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spans="1:13">
      <c r="A1" s="125" t="s">
        <v>158</v>
      </c>
      <c r="B1" s="119" t="s">
        <v>159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spans="1:13">
      <c r="A2" s="6" t="s">
        <v>2</v>
      </c>
      <c r="B2" s="7">
        <f>+K32</f>
        <v>294.5</v>
      </c>
      <c r="C2" s="8"/>
      <c r="D2" s="8"/>
      <c r="E2" s="8"/>
      <c r="F2" s="8"/>
      <c r="G2" s="9"/>
      <c r="H2" s="126" t="s">
        <v>160</v>
      </c>
      <c r="I2" s="132" t="s">
        <v>145</v>
      </c>
      <c r="J2" s="126" t="s">
        <v>146</v>
      </c>
      <c r="K2" s="126" t="s">
        <v>147</v>
      </c>
      <c r="L2" s="126" t="s">
        <v>161</v>
      </c>
      <c r="M2" s="104"/>
    </row>
    <row r="3" ht="12" customHeight="1" spans="1:13">
      <c r="A3" s="6" t="s">
        <v>3</v>
      </c>
      <c r="B3" s="7">
        <f>+M32</f>
        <v>392</v>
      </c>
      <c r="C3" s="8"/>
      <c r="D3" s="8"/>
      <c r="E3" s="8"/>
      <c r="F3" s="8"/>
      <c r="G3" s="9"/>
      <c r="H3" s="126">
        <v>1</v>
      </c>
      <c r="I3" s="126"/>
      <c r="J3" s="126"/>
      <c r="K3" s="126"/>
      <c r="L3" s="127">
        <f>SUM(I3:K3)</f>
        <v>0</v>
      </c>
      <c r="M3" s="105"/>
    </row>
    <row r="4" ht="12" customHeight="1" spans="1:13">
      <c r="A4" s="6"/>
      <c r="B4" s="7"/>
      <c r="C4" s="8"/>
      <c r="D4" s="8"/>
      <c r="E4" s="8"/>
      <c r="F4" s="8"/>
      <c r="G4" s="9"/>
      <c r="H4" s="126">
        <v>2</v>
      </c>
      <c r="I4" s="126"/>
      <c r="J4" s="126"/>
      <c r="K4" s="126"/>
      <c r="L4" s="127">
        <f t="shared" ref="L4:L5" si="0">SUM(I4:K4)</f>
        <v>0</v>
      </c>
      <c r="M4" s="105"/>
    </row>
    <row r="5" ht="12" customHeight="1" spans="1:13">
      <c r="A5" s="6"/>
      <c r="B5" s="7"/>
      <c r="C5" s="8"/>
      <c r="D5" s="8"/>
      <c r="E5" s="8"/>
      <c r="F5" s="8"/>
      <c r="G5" s="9"/>
      <c r="H5" s="126">
        <v>3</v>
      </c>
      <c r="I5" s="126"/>
      <c r="J5" s="126"/>
      <c r="K5" s="126"/>
      <c r="L5" s="127">
        <f>SUM(I5:K5)</f>
        <v>0</v>
      </c>
      <c r="M5" s="105"/>
    </row>
    <row r="6" ht="12" customHeight="1" spans="1:13">
      <c r="A6" s="6"/>
      <c r="B6" s="7"/>
      <c r="C6" s="8"/>
      <c r="D6" s="8"/>
      <c r="E6" s="8"/>
      <c r="F6" s="8"/>
      <c r="G6" s="9"/>
      <c r="H6" s="127" t="s">
        <v>162</v>
      </c>
      <c r="I6" s="127">
        <f t="shared" ref="I6:L6" si="1">SUM(I3:I5)</f>
        <v>0</v>
      </c>
      <c r="J6" s="127">
        <f>SUM(J3:J5)</f>
        <v>0</v>
      </c>
      <c r="K6" s="127">
        <f>SUM(K3:K5)</f>
        <v>0</v>
      </c>
      <c r="L6" s="133">
        <f>SUM(L3:L5)</f>
        <v>0</v>
      </c>
      <c r="M6" s="105"/>
    </row>
    <row r="7" spans="1:13">
      <c r="A7" s="6" t="s">
        <v>163</v>
      </c>
      <c r="B7" s="11"/>
      <c r="C7" s="12"/>
      <c r="D7" s="13" t="s">
        <v>164</v>
      </c>
      <c r="E7" s="12"/>
      <c r="F7" s="12"/>
      <c r="G7" s="14" t="s">
        <v>78</v>
      </c>
      <c r="H7" s="15"/>
      <c r="I7" s="62" t="s">
        <v>7</v>
      </c>
      <c r="J7" s="13">
        <f>+K54</f>
        <v>114.79998</v>
      </c>
      <c r="K7" s="12" t="s">
        <v>8</v>
      </c>
      <c r="L7" s="12" t="s">
        <v>128</v>
      </c>
      <c r="M7" s="106"/>
    </row>
    <row r="8" spans="1:13">
      <c r="A8" s="16" t="s">
        <v>10</v>
      </c>
      <c r="B8" s="17" t="s">
        <v>165</v>
      </c>
      <c r="C8" s="18" t="s">
        <v>113</v>
      </c>
      <c r="D8" s="19">
        <v>12354250</v>
      </c>
      <c r="E8" s="19"/>
      <c r="F8" s="19"/>
      <c r="G8" s="20"/>
      <c r="H8" s="21"/>
      <c r="I8" s="62"/>
      <c r="J8" s="62"/>
      <c r="K8" s="62"/>
      <c r="L8" s="62"/>
      <c r="M8" s="105"/>
    </row>
    <row r="9" spans="1:13">
      <c r="A9" s="22" t="s">
        <v>13</v>
      </c>
      <c r="B9" s="23"/>
      <c r="C9" s="23" t="s">
        <v>14</v>
      </c>
      <c r="D9" s="23"/>
      <c r="E9" s="23"/>
      <c r="F9" s="24"/>
      <c r="G9" s="11" t="s">
        <v>15</v>
      </c>
      <c r="H9" s="23"/>
      <c r="I9" s="23"/>
      <c r="J9" s="24"/>
      <c r="K9" s="63"/>
      <c r="L9" s="64"/>
      <c r="M9" s="107"/>
    </row>
    <row r="10" ht="25.5" spans="1:13">
      <c r="A10" s="25" t="s">
        <v>16</v>
      </c>
      <c r="B10" s="25" t="s">
        <v>17</v>
      </c>
      <c r="C10" s="25" t="s">
        <v>152</v>
      </c>
      <c r="D10" s="25" t="s">
        <v>153</v>
      </c>
      <c r="E10" s="25" t="s">
        <v>123</v>
      </c>
      <c r="F10" s="25" t="s">
        <v>130</v>
      </c>
      <c r="G10" s="25" t="s">
        <v>152</v>
      </c>
      <c r="H10" s="25" t="s">
        <v>154</v>
      </c>
      <c r="I10" s="25" t="s">
        <v>155</v>
      </c>
      <c r="J10" s="25" t="s">
        <v>131</v>
      </c>
      <c r="K10" s="25" t="s">
        <v>22</v>
      </c>
      <c r="L10" s="25" t="s">
        <v>23</v>
      </c>
      <c r="M10" s="25" t="s">
        <v>24</v>
      </c>
    </row>
    <row r="11" spans="1:13">
      <c r="A11" s="99" t="s">
        <v>25</v>
      </c>
      <c r="B11" s="34">
        <f>SUM(C11:F11)</f>
        <v>20</v>
      </c>
      <c r="C11" s="34">
        <v>5</v>
      </c>
      <c r="D11" s="34">
        <v>5</v>
      </c>
      <c r="E11" s="34">
        <v>5</v>
      </c>
      <c r="F11" s="34">
        <v>5</v>
      </c>
      <c r="G11" s="48"/>
      <c r="H11" s="48">
        <v>2</v>
      </c>
      <c r="I11" s="48"/>
      <c r="J11" s="48"/>
      <c r="K11" s="48">
        <f t="shared" ref="K11:K32" si="2">SUM(G11:J11)</f>
        <v>2</v>
      </c>
      <c r="L11" s="48">
        <f>+((C11+D11+E11+F11)-(G11+H11+I11+J11))*-1</f>
        <v>-18</v>
      </c>
      <c r="M11" s="48">
        <v>10</v>
      </c>
    </row>
    <row r="12" spans="1:13">
      <c r="A12" s="29" t="s">
        <v>26</v>
      </c>
      <c r="B12" s="34">
        <f t="shared" ref="B12:B31" si="3">SUM(C12:F12)</f>
        <v>20</v>
      </c>
      <c r="C12" s="34">
        <v>7</v>
      </c>
      <c r="D12" s="34">
        <v>7</v>
      </c>
      <c r="E12" s="34">
        <v>3</v>
      </c>
      <c r="F12" s="34">
        <v>3</v>
      </c>
      <c r="G12" s="48">
        <v>10</v>
      </c>
      <c r="H12" s="48">
        <v>5</v>
      </c>
      <c r="I12" s="48">
        <v>2</v>
      </c>
      <c r="J12" s="48">
        <v>3</v>
      </c>
      <c r="K12" s="48">
        <f>SUM(G12:J12)</f>
        <v>20</v>
      </c>
      <c r="L12" s="48">
        <f t="shared" ref="L12:L32" si="4">+((C12+D12+E12+F12)-(G12+H12+I12+J12))*-1</f>
        <v>0</v>
      </c>
      <c r="M12" s="48">
        <v>16</v>
      </c>
    </row>
    <row r="13" spans="1:17">
      <c r="A13" s="29" t="s">
        <v>27</v>
      </c>
      <c r="B13" s="34">
        <f>SUM(C13:F13)</f>
        <v>15</v>
      </c>
      <c r="C13" s="34">
        <v>2</v>
      </c>
      <c r="D13" s="34">
        <v>3</v>
      </c>
      <c r="E13" s="34">
        <v>5</v>
      </c>
      <c r="F13" s="34">
        <v>5</v>
      </c>
      <c r="G13" s="48">
        <v>6</v>
      </c>
      <c r="H13" s="48"/>
      <c r="I13" s="48"/>
      <c r="J13" s="48">
        <v>13</v>
      </c>
      <c r="K13" s="48">
        <f>SUM(G13:J13)</f>
        <v>19</v>
      </c>
      <c r="L13" s="48">
        <f>+((C13+D13+E13+F13)-(G13+H13+I13+J13))*-1</f>
        <v>4</v>
      </c>
      <c r="M13" s="48">
        <v>89</v>
      </c>
      <c r="Q13"/>
    </row>
    <row r="14" spans="1:13">
      <c r="A14" s="29" t="s">
        <v>28</v>
      </c>
      <c r="B14" s="34">
        <f>SUM(C14:F14)</f>
        <v>15</v>
      </c>
      <c r="C14" s="34">
        <v>2</v>
      </c>
      <c r="D14" s="34">
        <v>4</v>
      </c>
      <c r="E14" s="34">
        <v>4</v>
      </c>
      <c r="F14" s="34">
        <v>5</v>
      </c>
      <c r="G14" s="48"/>
      <c r="H14" s="48">
        <v>3</v>
      </c>
      <c r="I14" s="48"/>
      <c r="J14" s="48">
        <v>12</v>
      </c>
      <c r="K14" s="48">
        <f>SUM(G14:J14)</f>
        <v>15</v>
      </c>
      <c r="L14" s="48">
        <f>+((C14+D14+E14+F14)-(G14+H14+I14+J14))*-1</f>
        <v>0</v>
      </c>
      <c r="M14" s="48">
        <v>39</v>
      </c>
    </row>
    <row r="15" spans="1:13">
      <c r="A15" s="29" t="s">
        <v>29</v>
      </c>
      <c r="B15" s="34">
        <f>SUM(C15:F15)</f>
        <v>10</v>
      </c>
      <c r="C15" s="34">
        <v>2</v>
      </c>
      <c r="D15" s="34">
        <v>3</v>
      </c>
      <c r="E15" s="34">
        <v>3</v>
      </c>
      <c r="F15" s="34">
        <v>2</v>
      </c>
      <c r="G15" s="48"/>
      <c r="H15" s="48"/>
      <c r="I15" s="48"/>
      <c r="J15" s="48">
        <v>4</v>
      </c>
      <c r="K15" s="48">
        <f>SUM(G15:J15)</f>
        <v>4</v>
      </c>
      <c r="L15" s="48">
        <f>+((C15+D15+E15+F15)-(G15+H15+I15+J15))*-1</f>
        <v>-6</v>
      </c>
      <c r="M15" s="48">
        <v>10</v>
      </c>
    </row>
    <row r="16" spans="1:13">
      <c r="A16" s="29" t="s">
        <v>87</v>
      </c>
      <c r="B16" s="34">
        <f>SUM(C16:F16)</f>
        <v>12</v>
      </c>
      <c r="C16" s="34">
        <v>2</v>
      </c>
      <c r="D16" s="34">
        <v>4</v>
      </c>
      <c r="E16" s="34">
        <v>3</v>
      </c>
      <c r="F16" s="34">
        <v>3</v>
      </c>
      <c r="G16" s="48">
        <v>1.5</v>
      </c>
      <c r="H16" s="48"/>
      <c r="I16" s="48">
        <v>1.5</v>
      </c>
      <c r="J16" s="48">
        <v>9</v>
      </c>
      <c r="K16" s="48">
        <f>SUM(G16:J16)</f>
        <v>12</v>
      </c>
      <c r="L16" s="48">
        <f>+((C16+D16+E16+F16)-(G16+H16+I16+J16))*-1</f>
        <v>0</v>
      </c>
      <c r="M16" s="48">
        <v>13</v>
      </c>
    </row>
    <row r="17" spans="1:13">
      <c r="A17" s="136" t="s">
        <v>30</v>
      </c>
      <c r="B17" s="34">
        <f>SUM(C17:F17)</f>
        <v>20</v>
      </c>
      <c r="C17" s="34">
        <v>7</v>
      </c>
      <c r="D17" s="34">
        <v>4</v>
      </c>
      <c r="E17" s="34">
        <v>4</v>
      </c>
      <c r="F17" s="34">
        <v>5</v>
      </c>
      <c r="G17" s="48"/>
      <c r="H17" s="48">
        <v>61</v>
      </c>
      <c r="I17" s="48"/>
      <c r="J17" s="48"/>
      <c r="K17" s="48">
        <f>SUM(G17:J17)</f>
        <v>61</v>
      </c>
      <c r="L17" s="48">
        <f>+((C17+D17+E17+F17)-(G17+H17+I17+J17))*-1</f>
        <v>41</v>
      </c>
      <c r="M17" s="48">
        <v>20</v>
      </c>
    </row>
    <row r="18" spans="1:13">
      <c r="A18" s="51" t="s">
        <v>31</v>
      </c>
      <c r="B18" s="34">
        <f>SUM(C18:F18)</f>
        <v>15</v>
      </c>
      <c r="C18" s="34">
        <v>3</v>
      </c>
      <c r="D18" s="34">
        <v>3</v>
      </c>
      <c r="E18" s="34">
        <v>4</v>
      </c>
      <c r="F18" s="34">
        <v>5</v>
      </c>
      <c r="G18" s="48">
        <v>10</v>
      </c>
      <c r="H18" s="48">
        <v>3</v>
      </c>
      <c r="I18" s="48"/>
      <c r="J18" s="48">
        <v>20</v>
      </c>
      <c r="K18" s="48">
        <f>SUM(G18:J18)</f>
        <v>33</v>
      </c>
      <c r="L18" s="48">
        <f>+((C18+D18+E18+F18)-(G18+H18+I18+J18))*-1</f>
        <v>18</v>
      </c>
      <c r="M18" s="48">
        <v>38</v>
      </c>
    </row>
    <row r="19" ht="13.5" customHeight="1" spans="1:13">
      <c r="A19" s="51" t="s">
        <v>166</v>
      </c>
      <c r="B19" s="34">
        <f>SUM(C19:F19)</f>
        <v>20</v>
      </c>
      <c r="C19" s="34">
        <v>5</v>
      </c>
      <c r="D19" s="34">
        <v>5</v>
      </c>
      <c r="E19" s="34">
        <v>5</v>
      </c>
      <c r="F19" s="137">
        <v>5</v>
      </c>
      <c r="G19" s="48">
        <v>10.5</v>
      </c>
      <c r="H19" s="48">
        <v>14.5</v>
      </c>
      <c r="I19" s="138">
        <v>4.5</v>
      </c>
      <c r="J19" s="48">
        <v>1</v>
      </c>
      <c r="K19" s="48">
        <f>SUM(G19:J19)</f>
        <v>30.5</v>
      </c>
      <c r="L19" s="48">
        <f>+((C19+D19+E19+F19)-(G19+H19+I19+J19))*-1</f>
        <v>10.5</v>
      </c>
      <c r="M19" s="48">
        <v>16</v>
      </c>
    </row>
    <row r="20" spans="1:16">
      <c r="A20" s="51" t="s">
        <v>141</v>
      </c>
      <c r="B20" s="34">
        <f>SUM(C20:F20)</f>
        <v>10</v>
      </c>
      <c r="C20" s="34">
        <v>1</v>
      </c>
      <c r="D20" s="34">
        <v>2</v>
      </c>
      <c r="E20" s="34">
        <v>3</v>
      </c>
      <c r="F20" s="34">
        <v>4</v>
      </c>
      <c r="G20" s="48">
        <v>0.5</v>
      </c>
      <c r="H20" s="48">
        <v>4.5</v>
      </c>
      <c r="I20" s="48">
        <v>2.5</v>
      </c>
      <c r="J20" s="48">
        <v>2.5</v>
      </c>
      <c r="K20" s="48">
        <f>SUM(G20:J20)</f>
        <v>10</v>
      </c>
      <c r="L20" s="48">
        <f>+((C20+D20+E20+F20)-(G20+H20+I20+J20))*-1</f>
        <v>0</v>
      </c>
      <c r="M20" s="48">
        <v>18</v>
      </c>
      <c r="P20" s="139"/>
    </row>
    <row r="21" spans="1:13">
      <c r="A21" s="51" t="s">
        <v>88</v>
      </c>
      <c r="B21" s="34">
        <f>SUM(C21:F21)</f>
        <v>10</v>
      </c>
      <c r="C21" s="34">
        <v>2</v>
      </c>
      <c r="D21" s="34">
        <v>2</v>
      </c>
      <c r="E21" s="34">
        <v>3</v>
      </c>
      <c r="F21" s="34">
        <v>3</v>
      </c>
      <c r="G21" s="48"/>
      <c r="H21" s="48"/>
      <c r="I21" s="48">
        <v>1</v>
      </c>
      <c r="J21" s="48">
        <v>6</v>
      </c>
      <c r="K21" s="48">
        <f>SUM(G21:J21)</f>
        <v>7</v>
      </c>
      <c r="L21" s="48">
        <f>+((C21+D21+E21+F21)-(G21+H21+I21+J21))*-1</f>
        <v>-3</v>
      </c>
      <c r="M21" s="48">
        <v>25</v>
      </c>
    </row>
    <row r="22" spans="1:13">
      <c r="A22" s="51" t="s">
        <v>167</v>
      </c>
      <c r="B22" s="34">
        <f>SUM(C22:F22)</f>
        <v>10</v>
      </c>
      <c r="C22" s="34">
        <v>1</v>
      </c>
      <c r="D22" s="34">
        <v>2</v>
      </c>
      <c r="E22" s="34">
        <v>3</v>
      </c>
      <c r="F22" s="34">
        <v>4</v>
      </c>
      <c r="G22" s="48">
        <v>2.5</v>
      </c>
      <c r="H22" s="48">
        <v>1</v>
      </c>
      <c r="I22" s="48">
        <v>2</v>
      </c>
      <c r="J22" s="48">
        <v>2</v>
      </c>
      <c r="K22" s="48">
        <f>SUM(G22:J22)</f>
        <v>7.5</v>
      </c>
      <c r="L22" s="48">
        <f>+((C22+D22+E22+F22)-(G22+H22+I22+J22))*-1</f>
        <v>-2.5</v>
      </c>
      <c r="M22" s="48">
        <v>32</v>
      </c>
    </row>
    <row r="23" spans="1:13">
      <c r="A23" s="51" t="s">
        <v>168</v>
      </c>
      <c r="B23" s="34"/>
      <c r="C23" s="34"/>
      <c r="D23" s="34"/>
      <c r="E23" s="34"/>
      <c r="F23" s="34"/>
      <c r="G23" s="48">
        <v>1</v>
      </c>
      <c r="H23" s="48">
        <v>1.5</v>
      </c>
      <c r="I23" s="48"/>
      <c r="J23" s="48"/>
      <c r="K23" s="48">
        <f>SUM(G23:J23)</f>
        <v>2.5</v>
      </c>
      <c r="L23" s="48">
        <f>+((C23+D23+E23+F23)-(G23+H23+I23+J23))*-1</f>
        <v>2.5</v>
      </c>
      <c r="M23" s="48">
        <v>12</v>
      </c>
    </row>
    <row r="24" spans="1:13">
      <c r="A24" s="141" t="s">
        <v>169</v>
      </c>
      <c r="B24" s="34">
        <f>SUM(C24:F24)</f>
        <v>10</v>
      </c>
      <c r="C24" s="34">
        <v>0</v>
      </c>
      <c r="D24" s="34">
        <v>5</v>
      </c>
      <c r="E24" s="34">
        <v>0</v>
      </c>
      <c r="F24" s="34">
        <v>5</v>
      </c>
      <c r="G24" s="48"/>
      <c r="H24" s="48">
        <v>5</v>
      </c>
      <c r="I24" s="48">
        <v>2</v>
      </c>
      <c r="J24" s="48"/>
      <c r="K24" s="48">
        <f>SUM(G24:J24)</f>
        <v>7</v>
      </c>
      <c r="L24" s="48">
        <f>+((C24+D24+E24+F24)-(G24+H24+I24+J24))*-1</f>
        <v>-3</v>
      </c>
      <c r="M24" s="48"/>
    </row>
    <row r="25" spans="1:13">
      <c r="A25" s="142" t="s">
        <v>170</v>
      </c>
      <c r="B25" s="34">
        <f>SUM(C25:F25)</f>
        <v>10</v>
      </c>
      <c r="C25" s="34">
        <v>2</v>
      </c>
      <c r="D25" s="34">
        <v>2</v>
      </c>
      <c r="E25" s="34">
        <v>3</v>
      </c>
      <c r="F25" s="34">
        <v>3</v>
      </c>
      <c r="G25" s="48"/>
      <c r="H25" s="48"/>
      <c r="I25" s="48"/>
      <c r="J25" s="48"/>
      <c r="K25" s="48">
        <f>SUM(G25:J25)</f>
        <v>0</v>
      </c>
      <c r="L25" s="48">
        <f>+((C25+D25+E25+F25)-(G25+H25+I25+J25))*-1</f>
        <v>-10</v>
      </c>
      <c r="M25" s="48"/>
    </row>
    <row r="26" spans="1:13">
      <c r="A26" s="142" t="s">
        <v>171</v>
      </c>
      <c r="B26" s="34">
        <f>SUM(C26:F26)</f>
        <v>10</v>
      </c>
      <c r="C26" s="34">
        <v>2</v>
      </c>
      <c r="D26" s="34">
        <v>2</v>
      </c>
      <c r="E26" s="34">
        <v>3</v>
      </c>
      <c r="F26" s="34">
        <v>3</v>
      </c>
      <c r="G26" s="48"/>
      <c r="H26" s="48">
        <v>4</v>
      </c>
      <c r="I26" s="48">
        <v>3</v>
      </c>
      <c r="J26" s="48">
        <v>3</v>
      </c>
      <c r="K26" s="48">
        <f>SUM(G26:J26)</f>
        <v>10</v>
      </c>
      <c r="L26" s="48">
        <f>+((C26+D26+E26+F26)-(G26+H26+I26+J26))*-1</f>
        <v>0</v>
      </c>
      <c r="M26" s="48"/>
    </row>
    <row r="27" spans="1:13">
      <c r="A27" s="142" t="s">
        <v>172</v>
      </c>
      <c r="B27" s="34">
        <f>SUM(C27:F27)</f>
        <v>10</v>
      </c>
      <c r="C27" s="34">
        <v>2</v>
      </c>
      <c r="D27" s="34">
        <v>2</v>
      </c>
      <c r="E27" s="34">
        <v>3</v>
      </c>
      <c r="F27" s="34">
        <v>3</v>
      </c>
      <c r="G27" s="48"/>
      <c r="H27" s="48">
        <v>0.5</v>
      </c>
      <c r="I27" s="48">
        <v>0.5</v>
      </c>
      <c r="J27" s="48"/>
      <c r="K27" s="48">
        <f>SUM(G27:J27)</f>
        <v>1</v>
      </c>
      <c r="L27" s="48">
        <f>+((C27+D27+E27+F27)-(G27+H27+I27+J27))*-1</f>
        <v>-9</v>
      </c>
      <c r="M27" s="48"/>
    </row>
    <row r="28" spans="1:13">
      <c r="A28" s="142" t="s">
        <v>173</v>
      </c>
      <c r="B28" s="34">
        <f>SUM(C28:F28)</f>
        <v>10</v>
      </c>
      <c r="C28" s="34">
        <v>2</v>
      </c>
      <c r="D28" s="34">
        <v>2</v>
      </c>
      <c r="E28" s="34">
        <v>3</v>
      </c>
      <c r="F28" s="34">
        <v>3</v>
      </c>
      <c r="G28" s="48"/>
      <c r="H28" s="48"/>
      <c r="I28" s="48"/>
      <c r="J28" s="48"/>
      <c r="K28" s="48">
        <f>SUM(G28:J28)</f>
        <v>0</v>
      </c>
      <c r="L28" s="48">
        <f>+((C28+D28+E28+F28)-(G28+H28+I28+J28))*-1</f>
        <v>-10</v>
      </c>
      <c r="M28" s="48"/>
    </row>
    <row r="29" spans="1:13">
      <c r="A29" s="53" t="s">
        <v>33</v>
      </c>
      <c r="B29" s="34">
        <f>SUM(C29:F29)</f>
        <v>15</v>
      </c>
      <c r="C29" s="34">
        <v>2</v>
      </c>
      <c r="D29" s="34">
        <v>3</v>
      </c>
      <c r="E29" s="34">
        <v>5</v>
      </c>
      <c r="F29" s="34">
        <v>5</v>
      </c>
      <c r="G29" s="35"/>
      <c r="H29" s="35">
        <v>1</v>
      </c>
      <c r="I29" s="35"/>
      <c r="J29" s="48">
        <v>10</v>
      </c>
      <c r="K29" s="48">
        <f>SUM(G29:J29)</f>
        <v>11</v>
      </c>
      <c r="L29" s="48">
        <f>+((C29+D29+E29+F29)-(G29+H29+I29+J29))*-1</f>
        <v>-4</v>
      </c>
      <c r="M29" s="35">
        <v>22</v>
      </c>
    </row>
    <row r="30" spans="1:13">
      <c r="A30" s="53" t="s">
        <v>37</v>
      </c>
      <c r="B30" s="34"/>
      <c r="C30" s="34"/>
      <c r="D30" s="34"/>
      <c r="E30" s="34"/>
      <c r="F30" s="34"/>
      <c r="G30" s="35"/>
      <c r="H30" s="35"/>
      <c r="I30" s="35"/>
      <c r="J30" s="35"/>
      <c r="K30" s="48">
        <f>SUM(G30:J30)</f>
        <v>0</v>
      </c>
      <c r="L30" s="48">
        <f>+((C30+D30+E30+F30)-(G30+H30+I30+J30))*-1</f>
        <v>0</v>
      </c>
      <c r="M30" s="35"/>
    </row>
    <row r="31" spans="1:13">
      <c r="A31" s="53" t="s">
        <v>38</v>
      </c>
      <c r="B31" s="34">
        <f>SUM(C31:F31)</f>
        <v>40</v>
      </c>
      <c r="C31" s="34">
        <v>10</v>
      </c>
      <c r="D31" s="34">
        <v>10</v>
      </c>
      <c r="E31" s="34">
        <v>10</v>
      </c>
      <c r="F31" s="34">
        <v>10</v>
      </c>
      <c r="G31" s="38">
        <v>4</v>
      </c>
      <c r="H31" s="35">
        <v>14</v>
      </c>
      <c r="I31" s="35"/>
      <c r="J31" s="35">
        <v>24</v>
      </c>
      <c r="K31" s="48">
        <f>SUM(G31:J31)</f>
        <v>42</v>
      </c>
      <c r="L31" s="48">
        <f>+((C31+D31+E31+F31)-(G31+H31+I31+J31))*-1</f>
        <v>2</v>
      </c>
      <c r="M31" s="35">
        <v>32</v>
      </c>
    </row>
    <row r="32" spans="1:13">
      <c r="A32" s="128" t="s">
        <v>39</v>
      </c>
      <c r="B32" s="41">
        <f t="shared" ref="B32:J32" si="5">SUM(B11:B31)</f>
        <v>282</v>
      </c>
      <c r="C32" s="41">
        <f>SUM(C11:C31)</f>
        <v>59</v>
      </c>
      <c r="D32" s="41">
        <f>SUM(D11:D31)</f>
        <v>70</v>
      </c>
      <c r="E32" s="41">
        <f>SUM(E11:E31)</f>
        <v>72</v>
      </c>
      <c r="F32" s="41">
        <f>SUM(F11:F31)</f>
        <v>81</v>
      </c>
      <c r="G32" s="41">
        <f>SUM(G11:G31)</f>
        <v>46</v>
      </c>
      <c r="H32" s="41">
        <f>SUM(H11:H31)</f>
        <v>120</v>
      </c>
      <c r="I32" s="41">
        <f>SUM(I11:I31)</f>
        <v>19</v>
      </c>
      <c r="J32" s="41">
        <f>SUM(J11:J31)</f>
        <v>109.5</v>
      </c>
      <c r="K32" s="144">
        <f>SUM(G32:J32)</f>
        <v>294.5</v>
      </c>
      <c r="L32" s="78">
        <f>+((C32+D32+E32+F32)-(G32+H32+I32+J32))*-1</f>
        <v>12.5</v>
      </c>
      <c r="M32" s="41">
        <f>SUM(M11:M31)</f>
        <v>392</v>
      </c>
    </row>
    <row r="33" spans="1:15">
      <c r="A33" s="42" t="s">
        <v>40</v>
      </c>
      <c r="B33" s="43"/>
      <c r="C33" s="44" t="s">
        <v>14</v>
      </c>
      <c r="D33" s="45"/>
      <c r="E33" s="45"/>
      <c r="F33" s="46"/>
      <c r="G33" s="44" t="s">
        <v>15</v>
      </c>
      <c r="H33" s="45"/>
      <c r="I33" s="45"/>
      <c r="J33" s="46"/>
      <c r="K33" s="83"/>
      <c r="L33" s="84"/>
      <c r="M33" s="84"/>
      <c r="N33" s="111"/>
      <c r="O33" s="90"/>
    </row>
    <row r="34" ht="25.5" spans="1:15">
      <c r="A34" s="47" t="s">
        <v>16</v>
      </c>
      <c r="B34" s="47" t="s">
        <v>17</v>
      </c>
      <c r="C34" s="47" t="s">
        <v>152</v>
      </c>
      <c r="D34" s="47" t="s">
        <v>154</v>
      </c>
      <c r="E34" s="47" t="s">
        <v>123</v>
      </c>
      <c r="F34" s="47" t="s">
        <v>131</v>
      </c>
      <c r="G34" s="47" t="s">
        <v>152</v>
      </c>
      <c r="H34" s="47" t="s">
        <v>154</v>
      </c>
      <c r="I34" s="47" t="s">
        <v>123</v>
      </c>
      <c r="J34" s="47" t="s">
        <v>131</v>
      </c>
      <c r="K34" s="47" t="s">
        <v>22</v>
      </c>
      <c r="L34" s="47" t="s">
        <v>41</v>
      </c>
      <c r="M34" s="47" t="s">
        <v>42</v>
      </c>
      <c r="N34" s="89"/>
      <c r="O34" s="90"/>
    </row>
    <row r="35" spans="1:15">
      <c r="A35" s="29" t="s">
        <v>25</v>
      </c>
      <c r="B35" s="48">
        <f>SUM(C35:F35)</f>
        <v>10.5</v>
      </c>
      <c r="C35" s="35">
        <v>2</v>
      </c>
      <c r="D35" s="34">
        <v>3</v>
      </c>
      <c r="E35" s="34">
        <v>2</v>
      </c>
      <c r="F35" s="34">
        <v>3.5</v>
      </c>
      <c r="G35" s="49">
        <f>(29900+22200+20350+26200+47800)/100000</f>
        <v>1.4645</v>
      </c>
      <c r="H35" s="50">
        <f>(21200+61850+16350+16200+21250+24000+13500)/100000</f>
        <v>1.7435</v>
      </c>
      <c r="I35" s="50">
        <f>(14550+13700+25100+25950+12300)/100000</f>
        <v>0.916</v>
      </c>
      <c r="J35" s="50">
        <f>(20900+161500+17500+28140+27200+35400+17400)/100000</f>
        <v>3.0804</v>
      </c>
      <c r="K35" s="50">
        <f t="shared" ref="K35:K54" si="6">SUM(G35:J35)</f>
        <v>7.2044</v>
      </c>
      <c r="L35" s="50">
        <f>+((C35+D35+E35+F35)-(G35+H35+I35+J35))*-1</f>
        <v>-3.2956</v>
      </c>
      <c r="M35" s="91">
        <f>+K35/B35</f>
        <v>0.686133333333333</v>
      </c>
      <c r="N35" s="89"/>
      <c r="O35" s="90"/>
    </row>
    <row r="36" spans="1:15">
      <c r="A36" s="29" t="s">
        <v>26</v>
      </c>
      <c r="B36" s="48">
        <f t="shared" ref="B36:B53" si="7">SUM(C36:F36)</f>
        <v>14</v>
      </c>
      <c r="C36" s="35">
        <v>2.5</v>
      </c>
      <c r="D36" s="34">
        <v>3.75</v>
      </c>
      <c r="E36" s="34">
        <v>3.75</v>
      </c>
      <c r="F36" s="34">
        <v>4</v>
      </c>
      <c r="G36" s="129">
        <f>(30000+15900+23200+26300+48400+66400)/100000</f>
        <v>2.102</v>
      </c>
      <c r="H36" s="130">
        <f>(55800+100000+46820+22000+19000+50900+51360)/100000</f>
        <v>3.4588</v>
      </c>
      <c r="I36" s="50">
        <f>(36900+43193+32700+151500+42800)/100000</f>
        <v>3.07093</v>
      </c>
      <c r="J36" s="134">
        <f>(51200+145700+42060+43260+40300+8220)/100000</f>
        <v>3.3074</v>
      </c>
      <c r="K36" s="50">
        <f>SUM(G36:J36)</f>
        <v>11.93913</v>
      </c>
      <c r="L36" s="50">
        <f t="shared" ref="L36:L54" si="8">+((C36+D36+E36+F36)-(G36+H36+I36+J36))*-1</f>
        <v>-2.06087</v>
      </c>
      <c r="M36" s="91">
        <f t="shared" ref="M36:M54" si="9">+K36/B36</f>
        <v>0.852795</v>
      </c>
      <c r="N36" s="92"/>
      <c r="O36" s="93"/>
    </row>
    <row r="37" spans="1:15">
      <c r="A37" s="29" t="s">
        <v>27</v>
      </c>
      <c r="B37" s="48">
        <f>SUM(C37:F37)</f>
        <v>10.25</v>
      </c>
      <c r="C37" s="34">
        <v>1.5</v>
      </c>
      <c r="D37" s="34">
        <v>2.75</v>
      </c>
      <c r="E37" s="34">
        <v>2.75</v>
      </c>
      <c r="F37" s="34">
        <v>3.25</v>
      </c>
      <c r="G37" s="129">
        <f>(30800+19000+43300+28400+29600+26360)/100000</f>
        <v>1.7746</v>
      </c>
      <c r="H37" s="50">
        <f>(18300+51700+21600+26400+20500+29400+21400)/100000</f>
        <v>1.893</v>
      </c>
      <c r="I37" s="50">
        <f>(50900+36330+16500+44310+76400)/100000</f>
        <v>2.2444</v>
      </c>
      <c r="J37" s="134">
        <f>(25600+57200+27000+118900+57280+130800+59900)/100000</f>
        <v>4.7668</v>
      </c>
      <c r="K37" s="50">
        <f>SUM(G37:J37)</f>
        <v>10.6788</v>
      </c>
      <c r="L37" s="50">
        <f>+((C37+D37+E37+F37)-(G37+H37+I37+J37))*-1</f>
        <v>0.428800000000001</v>
      </c>
      <c r="M37" s="91">
        <f>+K37/B37</f>
        <v>1.04183414634146</v>
      </c>
      <c r="N37" s="92"/>
      <c r="O37" s="93"/>
    </row>
    <row r="38" spans="1:15">
      <c r="A38" s="29" t="s">
        <v>28</v>
      </c>
      <c r="B38" s="48">
        <f>SUM(C38:F38)</f>
        <v>8.75</v>
      </c>
      <c r="C38" s="34">
        <v>1.5</v>
      </c>
      <c r="D38" s="34">
        <v>2.5</v>
      </c>
      <c r="E38" s="34">
        <v>2</v>
      </c>
      <c r="F38" s="34">
        <v>2.75</v>
      </c>
      <c r="G38" s="129">
        <f>(11800+27300+7900+34000+22924+13900)/100000</f>
        <v>1.17824</v>
      </c>
      <c r="H38" s="140">
        <f>(23700+117520+11000+28600+14670+56980+44020)/100000</f>
        <v>2.9649</v>
      </c>
      <c r="I38" s="50">
        <f>(14250+41300+22100+17300+15400)/100000</f>
        <v>1.1035</v>
      </c>
      <c r="J38" s="134">
        <f>(47700+26500+14460+41540+20700+85570+45370)/100000</f>
        <v>2.8184</v>
      </c>
      <c r="K38" s="50">
        <f>SUM(G38:J38)</f>
        <v>8.06504</v>
      </c>
      <c r="L38" s="50">
        <f>+((C38+D38+E38+F38)-(G38+H38+I38+J38))*-1</f>
        <v>-0.68496</v>
      </c>
      <c r="M38" s="91">
        <f>+K38/B38</f>
        <v>0.921718857142857</v>
      </c>
      <c r="N38" s="92"/>
      <c r="O38" s="93"/>
    </row>
    <row r="39" spans="1:15">
      <c r="A39" s="29" t="s">
        <v>29</v>
      </c>
      <c r="B39" s="48">
        <f>SUM(C39:F39)</f>
        <v>4</v>
      </c>
      <c r="C39" s="34">
        <v>0.75</v>
      </c>
      <c r="D39" s="34">
        <v>1.5</v>
      </c>
      <c r="E39" s="34">
        <v>0.75</v>
      </c>
      <c r="F39" s="34">
        <v>1</v>
      </c>
      <c r="G39" s="129">
        <f>(11800+3000+3000)/100000</f>
        <v>0.178</v>
      </c>
      <c r="H39" s="50">
        <f>(44000+8800+3000+3000+11000)/100000</f>
        <v>0.698</v>
      </c>
      <c r="I39" s="50">
        <f>(44000+27000+400)/100000</f>
        <v>0.714</v>
      </c>
      <c r="J39" s="134">
        <f>(80000+9400+4000+3000+67890)/100000</f>
        <v>1.6429</v>
      </c>
      <c r="K39" s="50">
        <f>SUM(G39:J39)</f>
        <v>3.2329</v>
      </c>
      <c r="L39" s="50">
        <f>+((C39+D39+E39+F39)-(G39+H39+I39+J39))*-1</f>
        <v>-0.7671</v>
      </c>
      <c r="M39" s="91">
        <f>+K39/B39</f>
        <v>0.808225</v>
      </c>
      <c r="N39" s="92"/>
      <c r="O39" s="93"/>
    </row>
    <row r="40" spans="1:15">
      <c r="A40" s="29" t="s">
        <v>87</v>
      </c>
      <c r="B40" s="48">
        <f>SUM(C40:F40)</f>
        <v>3.8</v>
      </c>
      <c r="C40" s="34">
        <v>0.8</v>
      </c>
      <c r="D40" s="34">
        <v>1</v>
      </c>
      <c r="E40" s="34">
        <v>1</v>
      </c>
      <c r="F40" s="34">
        <v>1</v>
      </c>
      <c r="G40" s="129">
        <f>+(9800+10050+13600+9300+25260+19700)/100000</f>
        <v>0.8771</v>
      </c>
      <c r="H40" s="50">
        <f>(20100+10550+11400+16850+16600+16900+17700)/100000</f>
        <v>1.101</v>
      </c>
      <c r="I40" s="50">
        <f>(6650+8400+107450+21680+11300)/100000</f>
        <v>1.5548</v>
      </c>
      <c r="J40" s="134">
        <f>(12250+12700+15400+32420+9750+20800+9770)/100000</f>
        <v>1.1309</v>
      </c>
      <c r="K40" s="50">
        <f>SUM(G40:J40)</f>
        <v>4.6638</v>
      </c>
      <c r="L40" s="50">
        <f>+((C40+D40+E40+F40)-(G40+H40+I40+J40))*-1</f>
        <v>0.8638</v>
      </c>
      <c r="M40" s="91">
        <f>+K40/B40</f>
        <v>1.22731578947368</v>
      </c>
      <c r="N40" s="92"/>
      <c r="O40" s="93"/>
    </row>
    <row r="41" spans="1:15">
      <c r="A41" s="51" t="s">
        <v>30</v>
      </c>
      <c r="B41" s="48">
        <f>SUM(C41:F41)</f>
        <v>9</v>
      </c>
      <c r="C41" s="35">
        <v>1.5</v>
      </c>
      <c r="D41" s="52">
        <v>3</v>
      </c>
      <c r="E41" s="52">
        <v>1.5</v>
      </c>
      <c r="F41" s="52">
        <v>3</v>
      </c>
      <c r="G41" s="129">
        <f>(5000+10490+126400+52300+106400+9500)/100000</f>
        <v>3.1009</v>
      </c>
      <c r="H41" s="50">
        <f>(9400+70615+3000+10000+37350+83000+47000)/100000</f>
        <v>2.60365</v>
      </c>
      <c r="I41" s="50">
        <f>(47000+5000+8000+53140+8000)/100000</f>
        <v>1.2114</v>
      </c>
      <c r="J41" s="134">
        <f>(47000+51800+14400+61800+15200+20000+10000)/100000</f>
        <v>2.202</v>
      </c>
      <c r="K41" s="50">
        <f>SUM(G41:J41)</f>
        <v>9.11795</v>
      </c>
      <c r="L41" s="50">
        <f>+((C41+D41+E41+F41)-(G41+H41+I41+J41))*-1</f>
        <v>0.11795</v>
      </c>
      <c r="M41" s="91">
        <f>+K41/B41</f>
        <v>1.01310555555556</v>
      </c>
      <c r="N41" s="94"/>
      <c r="O41" s="95"/>
    </row>
    <row r="42" spans="1:15">
      <c r="A42" s="51" t="s">
        <v>31</v>
      </c>
      <c r="B42" s="48">
        <f>SUM(C42:F42)</f>
        <v>7</v>
      </c>
      <c r="C42" s="35">
        <v>1.25</v>
      </c>
      <c r="D42" s="52">
        <v>2.25</v>
      </c>
      <c r="E42" s="52">
        <v>1.25</v>
      </c>
      <c r="F42" s="52">
        <v>2.25</v>
      </c>
      <c r="G42" s="129">
        <f>(21300+68100+21300+13250+27150+28350)/100000</f>
        <v>1.7945</v>
      </c>
      <c r="H42" s="50">
        <f>(21955+23850+30700+15550+22650+33350+29700)/100000</f>
        <v>1.77755</v>
      </c>
      <c r="I42" s="50">
        <f>(41800+18600+23500+17000+37850)/100000</f>
        <v>1.3875</v>
      </c>
      <c r="J42" s="134">
        <f>(24750+65970+22350+23350+21950+26830+15000)/100000</f>
        <v>2.002</v>
      </c>
      <c r="K42" s="50">
        <f>SUM(G42:J42)</f>
        <v>6.96155</v>
      </c>
      <c r="L42" s="50">
        <f>+((C42+D42+E42+F42)-(G42+H42+I42+J42))*-1</f>
        <v>-0.0384500000000001</v>
      </c>
      <c r="M42" s="91">
        <f>+K42/B42</f>
        <v>0.994507142857143</v>
      </c>
      <c r="N42" s="92"/>
      <c r="O42" s="93"/>
    </row>
    <row r="43" spans="1:15">
      <c r="A43" s="51" t="s">
        <v>141</v>
      </c>
      <c r="B43" s="48">
        <f>SUM(C43:F43)</f>
        <v>8.5</v>
      </c>
      <c r="C43" s="35">
        <v>2</v>
      </c>
      <c r="D43" s="52">
        <v>2.5</v>
      </c>
      <c r="E43" s="52">
        <v>1.5</v>
      </c>
      <c r="F43" s="52">
        <v>2.5</v>
      </c>
      <c r="G43" s="129">
        <f>(23300+17500+65400+79600+13700+24200)/100000</f>
        <v>2.237</v>
      </c>
      <c r="H43" s="50">
        <f>(28450+24125+55095+41700+33039+24100+27050)/100000</f>
        <v>2.33559</v>
      </c>
      <c r="I43" s="50">
        <f>(19800+38900+17300+25600+26800)/100000</f>
        <v>1.284</v>
      </c>
      <c r="J43" s="134">
        <f>(36600+44100+23100+30740+22450+35890+18400)/100000</f>
        <v>2.1128</v>
      </c>
      <c r="K43" s="50">
        <f>SUM(G43:J43)</f>
        <v>7.96939</v>
      </c>
      <c r="L43" s="50">
        <f>+((C43+D43+E43+F43)-(G43+H43+I43+J43))*-1</f>
        <v>-0.53061</v>
      </c>
      <c r="M43" s="91">
        <f>+K43/B43</f>
        <v>0.937575294117647</v>
      </c>
      <c r="N43" s="92"/>
      <c r="O43" s="93"/>
    </row>
    <row r="44" spans="1:15">
      <c r="A44" s="51" t="s">
        <v>98</v>
      </c>
      <c r="B44" s="48">
        <f>SUM(C44:F44)</f>
        <v>6</v>
      </c>
      <c r="C44" s="35">
        <v>1.25</v>
      </c>
      <c r="D44" s="52">
        <v>1.5</v>
      </c>
      <c r="E44" s="52">
        <v>1.5</v>
      </c>
      <c r="F44" s="52">
        <v>1.75</v>
      </c>
      <c r="G44" s="129">
        <f>(14100+13800+12400+13700+20000+72740)/100000</f>
        <v>1.4674</v>
      </c>
      <c r="H44" s="50">
        <f>(16700+69100+17110+18200+17020+33740+26200)/100000</f>
        <v>1.9807</v>
      </c>
      <c r="I44" s="50">
        <f>(18600+16100+14900+15100+45700)/100000</f>
        <v>1.104</v>
      </c>
      <c r="J44" s="134">
        <f>(21300+24200+15400+20520+11400+23750+18600+17100)/100000</f>
        <v>1.5227</v>
      </c>
      <c r="K44" s="50">
        <f>SUM(G44:J44)</f>
        <v>6.0748</v>
      </c>
      <c r="L44" s="50">
        <f>+((C44+D44+E44+F44)-(G44+H44+I44+J44))*-1</f>
        <v>0.0747999999999998</v>
      </c>
      <c r="M44" s="91">
        <f>+K44/B44</f>
        <v>1.01246666666667</v>
      </c>
      <c r="N44" s="92"/>
      <c r="O44" s="93"/>
    </row>
    <row r="45" spans="1:15">
      <c r="A45" s="51" t="s">
        <v>156</v>
      </c>
      <c r="B45" s="48">
        <f>SUM(C45:F45)</f>
        <v>2</v>
      </c>
      <c r="C45" s="35">
        <v>1</v>
      </c>
      <c r="D45" s="52">
        <v>1</v>
      </c>
      <c r="E45" s="52"/>
      <c r="F45" s="52"/>
      <c r="G45" s="129">
        <f>(7000+44500+10250+14450+12600+6100)/100000</f>
        <v>0.949</v>
      </c>
      <c r="H45" s="50">
        <f>(12400+14750+8050+9100+12700)/100000</f>
        <v>0.57</v>
      </c>
      <c r="I45" s="50"/>
      <c r="J45" s="134"/>
      <c r="K45" s="50">
        <f>SUM(G45:J45)</f>
        <v>1.519</v>
      </c>
      <c r="L45" s="50">
        <f>+((C45+D45+E45+F45)-(G45+H45+I45+J45))*-1</f>
        <v>-0.481</v>
      </c>
      <c r="M45" s="91">
        <f>+K45/B45</f>
        <v>0.7595</v>
      </c>
      <c r="N45" s="92"/>
      <c r="O45" s="93"/>
    </row>
    <row r="46" spans="1:15">
      <c r="A46" s="51" t="s">
        <v>88</v>
      </c>
      <c r="B46" s="48">
        <f ca="1">SUM(C46:D46:E46:F46)</f>
        <v>5.5</v>
      </c>
      <c r="C46" s="35">
        <v>1</v>
      </c>
      <c r="D46" s="52">
        <v>1.5</v>
      </c>
      <c r="E46" s="52">
        <v>1.25</v>
      </c>
      <c r="F46" s="52">
        <v>1.75</v>
      </c>
      <c r="G46" s="129">
        <f>(19200+33650+15908+21200+22310+20250)/100000</f>
        <v>1.32518</v>
      </c>
      <c r="H46" s="50">
        <f>(20110+47100+29900+9700+13500+18900+15700)/100000</f>
        <v>1.5491</v>
      </c>
      <c r="I46" s="50">
        <f>(18600+25250+40400+19650+29900)/100000</f>
        <v>1.338</v>
      </c>
      <c r="J46" s="134">
        <f>(10400+23600+23350+20350+22950+21500+16600)/100000</f>
        <v>1.3875</v>
      </c>
      <c r="K46" s="50">
        <f>SUM(G46:J46)</f>
        <v>5.59978</v>
      </c>
      <c r="L46" s="50">
        <f>+((C46+D46+E46+F46)-(G46+H46+I46+J46))*-1</f>
        <v>0.09978</v>
      </c>
      <c r="M46" s="91">
        <f ca="1">+K46/B46</f>
        <v>1.01814181818182</v>
      </c>
      <c r="N46" s="92"/>
      <c r="O46" s="93"/>
    </row>
    <row r="47" spans="1:15">
      <c r="A47" s="51" t="s">
        <v>167</v>
      </c>
      <c r="B47" s="48">
        <f ca="1">SUM(C47:D47:E47:F47)</f>
        <v>5</v>
      </c>
      <c r="C47" s="35">
        <v>1</v>
      </c>
      <c r="D47" s="52">
        <v>1</v>
      </c>
      <c r="E47" s="52">
        <v>1</v>
      </c>
      <c r="F47" s="52">
        <v>2</v>
      </c>
      <c r="G47" s="129">
        <f>(13900+29500+28700+10000+10000+9200)/100000</f>
        <v>1.013</v>
      </c>
      <c r="H47" s="50">
        <f>(22900+33500+14000+11300+11500+21900+24000)/100000</f>
        <v>1.391</v>
      </c>
      <c r="I47" s="50">
        <f>(29150+18850+27370+30950+25800)/100000</f>
        <v>1.3212</v>
      </c>
      <c r="J47" s="134">
        <f>(14250+35950+11000+9400+29200+13350+28600)/100000</f>
        <v>1.4175</v>
      </c>
      <c r="K47" s="50">
        <f>SUM(G47:J47)</f>
        <v>5.1427</v>
      </c>
      <c r="L47" s="50">
        <f>+((C47+D47+E47+F47)-(G47+H47+I47+J47))*-1</f>
        <v>0.1427</v>
      </c>
      <c r="M47" s="91">
        <f ca="1">+K47/B47</f>
        <v>1.02854</v>
      </c>
      <c r="N47" s="92"/>
      <c r="O47" s="93"/>
    </row>
    <row r="48" ht="14.25" customHeight="1" spans="1:15">
      <c r="A48" s="51" t="s">
        <v>166</v>
      </c>
      <c r="B48" s="48">
        <v>3</v>
      </c>
      <c r="C48" s="35"/>
      <c r="D48" s="52"/>
      <c r="E48" s="52">
        <v>1.5</v>
      </c>
      <c r="F48" s="52">
        <v>1.5</v>
      </c>
      <c r="G48" s="129">
        <f>(36200+11100+1100+17450)/100000</f>
        <v>0.6585</v>
      </c>
      <c r="H48" s="50">
        <f>(1000+1100+11400+1100+3750+8150+5400)/100000</f>
        <v>0.319</v>
      </c>
      <c r="I48" s="50">
        <f>(48200+15600+19800+4700+17300)/100000</f>
        <v>1.056</v>
      </c>
      <c r="J48" s="134">
        <f>(8200+6500+8800+23300+8900+12700+15600)/100000</f>
        <v>0.84</v>
      </c>
      <c r="K48" s="50">
        <f>SUM(G48:J48)</f>
        <v>2.8735</v>
      </c>
      <c r="L48" s="50">
        <f>+((C48+D48+E48+F48)-(G48+H48+I48+J48))*-1</f>
        <v>-0.1265</v>
      </c>
      <c r="M48" s="91">
        <f>+K48/B48</f>
        <v>0.957833333333333</v>
      </c>
      <c r="N48" s="92"/>
      <c r="O48" s="93"/>
    </row>
    <row r="49" spans="1:15">
      <c r="A49" s="143" t="s">
        <v>171</v>
      </c>
      <c r="B49" s="48"/>
      <c r="C49" s="35"/>
      <c r="D49" s="52"/>
      <c r="E49" s="52"/>
      <c r="F49" s="52"/>
      <c r="G49" s="129"/>
      <c r="H49" s="50">
        <f>(10000+5000+5000)/100000</f>
        <v>0.2</v>
      </c>
      <c r="I49" s="50">
        <f>(15000)/100000</f>
        <v>0.15</v>
      </c>
      <c r="J49" s="134">
        <f>(7000)/100000</f>
        <v>0.07</v>
      </c>
      <c r="K49" s="50">
        <f>SUM(G49:J49)</f>
        <v>0.42</v>
      </c>
      <c r="L49" s="50">
        <f>+((C49+D49+E49+F49)-(G49+H49+I49+J49))*-1</f>
        <v>0.42</v>
      </c>
      <c r="M49" s="91"/>
      <c r="N49" s="92"/>
      <c r="O49" s="93"/>
    </row>
    <row r="50" spans="1:15">
      <c r="A50" s="143" t="s">
        <v>172</v>
      </c>
      <c r="B50" s="48"/>
      <c r="C50" s="35"/>
      <c r="D50" s="52"/>
      <c r="E50" s="52"/>
      <c r="F50" s="52"/>
      <c r="G50" s="129"/>
      <c r="H50" s="50">
        <f>(2500)/100000</f>
        <v>0.025</v>
      </c>
      <c r="I50" s="50">
        <f>(2000)/100000</f>
        <v>0.02</v>
      </c>
      <c r="J50" s="134">
        <f>(4500+1000)/100000</f>
        <v>0.055</v>
      </c>
      <c r="K50" s="50">
        <f>SUM(G50:J50)</f>
        <v>0.1</v>
      </c>
      <c r="L50" s="50">
        <f>+((C50+D50+E50+F50)-(G50+H50+I50+J50))*-1</f>
        <v>0.1</v>
      </c>
      <c r="M50" s="91"/>
      <c r="N50" s="92"/>
      <c r="O50" s="93"/>
    </row>
    <row r="51" spans="1:15">
      <c r="A51" s="53" t="s">
        <v>37</v>
      </c>
      <c r="B51" s="48">
        <f>SUM(C51:F51)</f>
        <v>0.7</v>
      </c>
      <c r="C51" s="35">
        <v>0.2</v>
      </c>
      <c r="D51" s="52">
        <v>0.2</v>
      </c>
      <c r="E51" s="52">
        <v>0.2</v>
      </c>
      <c r="F51" s="52">
        <v>0.1</v>
      </c>
      <c r="G51" s="129">
        <f>(17600)/100000</f>
        <v>0.176</v>
      </c>
      <c r="H51" s="50">
        <f>(2200)/100000</f>
        <v>0.022</v>
      </c>
      <c r="I51" s="50"/>
      <c r="J51" s="134">
        <f>(6600)/100000</f>
        <v>0.066</v>
      </c>
      <c r="K51" s="50">
        <f>SUM(G51:J51)</f>
        <v>0.264</v>
      </c>
      <c r="L51" s="50">
        <f>+((C51+D51+E51+F51)-(G51+H51+I51+J51))*-1</f>
        <v>-0.436</v>
      </c>
      <c r="M51" s="91">
        <f>+K51/B51</f>
        <v>0.377142857142857</v>
      </c>
      <c r="N51" s="92"/>
      <c r="O51" s="93"/>
    </row>
    <row r="52" spans="1:15">
      <c r="A52" s="53" t="s">
        <v>35</v>
      </c>
      <c r="B52" s="48">
        <f>SUM(C52:F52)</f>
        <v>4.5</v>
      </c>
      <c r="C52" s="35">
        <v>1</v>
      </c>
      <c r="D52" s="52">
        <v>1.25</v>
      </c>
      <c r="E52" s="52">
        <v>1</v>
      </c>
      <c r="F52" s="52">
        <v>1.25</v>
      </c>
      <c r="G52" s="129">
        <f>(2740+25350)/100000</f>
        <v>0.2809</v>
      </c>
      <c r="H52" s="50">
        <f>(66000)/100000</f>
        <v>0.66</v>
      </c>
      <c r="I52" s="50">
        <f>(100000)/100000</f>
        <v>1</v>
      </c>
      <c r="J52" s="134">
        <f>(112200+97710)/100000</f>
        <v>2.0991</v>
      </c>
      <c r="K52" s="50">
        <f>SUM(G52:J52)</f>
        <v>4.04</v>
      </c>
      <c r="L52" s="50">
        <f>+((C52+D52+E52+F52)-(G52+H52+I52+J52))*-1</f>
        <v>-0.46</v>
      </c>
      <c r="M52" s="91">
        <f>+K52/B52</f>
        <v>0.897777777777778</v>
      </c>
      <c r="N52" s="92"/>
      <c r="O52" s="93"/>
    </row>
    <row r="53" spans="1:15">
      <c r="A53" s="53" t="s">
        <v>38</v>
      </c>
      <c r="B53" s="48">
        <f>SUM(C53:F53)</f>
        <v>18.5</v>
      </c>
      <c r="C53" s="35">
        <v>2.5</v>
      </c>
      <c r="D53" s="52">
        <v>5</v>
      </c>
      <c r="E53" s="52">
        <v>5</v>
      </c>
      <c r="F53" s="52">
        <v>6</v>
      </c>
      <c r="G53" s="129">
        <f>(25575+44300+90638+39900+10300+14200)/100000</f>
        <v>2.24913</v>
      </c>
      <c r="H53" s="50">
        <f>(127215+89720+67543+55785+31600+52245)/100000</f>
        <v>4.24108</v>
      </c>
      <c r="I53" s="50">
        <f>(9305+5800+21605+72300+268900)/100000</f>
        <v>3.7791</v>
      </c>
      <c r="J53" s="134">
        <f>(19180+430400+67215+140600+37363+117200+54435)/100000</f>
        <v>8.66393</v>
      </c>
      <c r="K53" s="50">
        <f>SUM(G53:J53)</f>
        <v>18.93324</v>
      </c>
      <c r="L53" s="50">
        <f>+((C53+D53+E53+F53)-(G53+H53+I53+J53))*-1</f>
        <v>0.433240000000001</v>
      </c>
      <c r="M53" s="91">
        <f>+K53/B53</f>
        <v>1.02341837837838</v>
      </c>
      <c r="N53" s="92"/>
      <c r="O53" s="93"/>
    </row>
    <row r="54" spans="1:15">
      <c r="A54" s="54" t="s">
        <v>44</v>
      </c>
      <c r="B54" s="48">
        <f ca="1" t="shared" ref="B54:J54" si="10">SUM(B35:B53)</f>
        <v>121</v>
      </c>
      <c r="C54" s="35">
        <f>SUM(C35:C53)</f>
        <v>21.75</v>
      </c>
      <c r="D54" s="48">
        <f>SUM(D35:D53)</f>
        <v>33.7</v>
      </c>
      <c r="E54" s="48">
        <f>SUM(E35:E53)</f>
        <v>27.95</v>
      </c>
      <c r="F54" s="48">
        <f>SUM(F35:F53)</f>
        <v>37.6</v>
      </c>
      <c r="G54" s="131">
        <f>SUM(G35:G53)</f>
        <v>22.82595</v>
      </c>
      <c r="H54" s="50">
        <f>SUM(H35:H53)</f>
        <v>29.53387</v>
      </c>
      <c r="I54" s="50">
        <f>SUM(I35:I53)</f>
        <v>23.25483</v>
      </c>
      <c r="J54" s="134">
        <f>SUM(J35:J53)</f>
        <v>39.18533</v>
      </c>
      <c r="K54" s="50">
        <f>SUM(G54:J54)</f>
        <v>114.79998</v>
      </c>
      <c r="L54" s="50">
        <f>+((C54+D54+E54+F54)-(G54+H54+I54+J54))*-1</f>
        <v>-6.20002000000002</v>
      </c>
      <c r="M54" s="91">
        <f ca="1">+K54/B54</f>
        <v>0.948760165289256</v>
      </c>
      <c r="N54" s="92"/>
      <c r="O54" s="93"/>
    </row>
    <row r="55" spans="1:15">
      <c r="A55" s="55"/>
      <c r="B55" s="56"/>
      <c r="C55" s="57"/>
      <c r="N55" s="94"/>
      <c r="O55" s="95"/>
    </row>
    <row r="56" spans="14:15">
      <c r="N56" s="92"/>
      <c r="O56" s="93"/>
    </row>
    <row r="57" spans="14:15">
      <c r="N57" s="92"/>
      <c r="O57" s="93"/>
    </row>
    <row r="58" spans="14:15">
      <c r="N58" s="92"/>
      <c r="O58" s="93"/>
    </row>
    <row r="59" spans="14:15">
      <c r="N59" s="92"/>
      <c r="O59" s="93"/>
    </row>
    <row r="60" spans="14:15">
      <c r="N60" s="92"/>
      <c r="O60" s="93"/>
    </row>
    <row r="61" spans="14:15">
      <c r="N61" s="92"/>
      <c r="O61" s="93"/>
    </row>
    <row r="62" spans="14:15">
      <c r="N62" s="92"/>
      <c r="O62" s="93"/>
    </row>
    <row r="63" spans="14:15">
      <c r="N63" s="92"/>
      <c r="O63" s="93"/>
    </row>
    <row r="64" spans="14:15">
      <c r="N64" s="92"/>
      <c r="O64" s="93"/>
    </row>
    <row r="65" spans="14:15">
      <c r="N65" s="94"/>
      <c r="O65" s="95"/>
    </row>
    <row r="66" spans="14:15">
      <c r="N66" s="92"/>
      <c r="O66" s="93"/>
    </row>
    <row r="67" spans="14:15">
      <c r="N67" s="92"/>
      <c r="O67" s="93"/>
    </row>
    <row r="68" spans="14:15">
      <c r="N68" s="92"/>
      <c r="O68" s="93"/>
    </row>
    <row r="69" spans="14:15">
      <c r="N69" s="92"/>
      <c r="O69" s="93"/>
    </row>
    <row r="70" spans="14:15">
      <c r="N70" s="92"/>
      <c r="O70" s="93"/>
    </row>
    <row r="71" spans="14:15">
      <c r="N71" s="92"/>
      <c r="O71" s="93"/>
    </row>
    <row r="72" spans="14:15">
      <c r="N72" s="92"/>
      <c r="O72" s="93"/>
    </row>
    <row r="73" spans="14:15">
      <c r="N73" s="94"/>
      <c r="O73" s="95"/>
    </row>
    <row r="74" spans="14:15">
      <c r="N74" s="92"/>
      <c r="O74" s="93"/>
    </row>
    <row r="75" spans="14:15">
      <c r="N75" s="92"/>
      <c r="O75" s="93"/>
    </row>
    <row r="76" spans="14:15">
      <c r="N76" s="92"/>
      <c r="O76" s="93"/>
    </row>
    <row r="77" spans="14:15">
      <c r="N77" s="92"/>
      <c r="O77" s="93"/>
    </row>
    <row r="78" spans="14:15">
      <c r="N78" s="92"/>
      <c r="O78" s="93"/>
    </row>
    <row r="79" spans="14:15">
      <c r="N79" s="92"/>
      <c r="O79" s="93"/>
    </row>
    <row r="80" spans="14:15">
      <c r="N80" s="92"/>
      <c r="O80" s="93"/>
    </row>
    <row r="81" spans="14:15">
      <c r="N81" s="92"/>
      <c r="O81" s="96"/>
    </row>
  </sheetData>
  <mergeCells count="6">
    <mergeCell ref="B1:M1"/>
    <mergeCell ref="D8:F8"/>
    <mergeCell ref="C9:F9"/>
    <mergeCell ref="G9:J9"/>
    <mergeCell ref="C33:F33"/>
    <mergeCell ref="G33:J33"/>
  </mergeCells>
  <pageMargins left="0.708333333333333" right="0.708333333333333" top="0.747916666666667" bottom="0.747916666666667" header="0.314583333333333" footer="0.314583333333333"/>
  <pageSetup paperSize="9" orientation="landscape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78"/>
  <sheetViews>
    <sheetView topLeftCell="A35" workbookViewId="0">
      <selection activeCell="A1" sqref="A1:M51"/>
    </sheetView>
  </sheetViews>
  <sheetFormatPr defaultColWidth="9" defaultRowHeight="15"/>
  <cols>
    <col min="1" max="1" width="17.4285714285714" style="1" customWidth="1"/>
    <col min="2" max="2" width="9" style="2" customWidth="1"/>
    <col min="3" max="3" width="8.42857142857143" style="1" customWidth="1"/>
    <col min="4" max="4" width="8.57142857142857" style="1" customWidth="1"/>
    <col min="5" max="5" width="8.28571428571429" style="1" customWidth="1"/>
    <col min="6" max="6" width="8.71428571428571" style="1" customWidth="1"/>
    <col min="7" max="7" width="8.28571428571429" style="1" customWidth="1"/>
    <col min="8" max="8" width="8.85714285714286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ht="18" customHeight="1" spans="1:13">
      <c r="A1" s="125" t="s">
        <v>174</v>
      </c>
      <c r="B1" s="119" t="s">
        <v>175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spans="1:13">
      <c r="A2" s="6" t="s">
        <v>2</v>
      </c>
      <c r="B2" s="7">
        <f>+K30</f>
        <v>251.5</v>
      </c>
      <c r="C2" s="8"/>
      <c r="D2" s="8"/>
      <c r="E2" s="8"/>
      <c r="F2" s="8"/>
      <c r="G2" s="9"/>
      <c r="H2" s="126" t="s">
        <v>160</v>
      </c>
      <c r="I2" s="132" t="s">
        <v>145</v>
      </c>
      <c r="J2" s="126" t="s">
        <v>146</v>
      </c>
      <c r="K2" s="126" t="s">
        <v>147</v>
      </c>
      <c r="L2" s="126" t="s">
        <v>161</v>
      </c>
      <c r="M2" s="104"/>
    </row>
    <row r="3" ht="12" customHeight="1" spans="1:13">
      <c r="A3" s="6" t="s">
        <v>3</v>
      </c>
      <c r="B3" s="7">
        <f>+M30</f>
        <v>166</v>
      </c>
      <c r="C3" s="8"/>
      <c r="D3" s="8"/>
      <c r="E3" s="8"/>
      <c r="F3" s="8"/>
      <c r="G3" s="9"/>
      <c r="H3" s="126">
        <v>1</v>
      </c>
      <c r="I3" s="126"/>
      <c r="J3" s="126"/>
      <c r="K3" s="126"/>
      <c r="L3" s="127"/>
      <c r="M3" s="105"/>
    </row>
    <row r="4" ht="12" customHeight="1" spans="1:13">
      <c r="A4" s="6"/>
      <c r="B4" s="7"/>
      <c r="C4" s="8"/>
      <c r="D4" s="8"/>
      <c r="E4" s="8"/>
      <c r="F4" s="8"/>
      <c r="G4" s="9"/>
      <c r="H4" s="126">
        <v>2</v>
      </c>
      <c r="I4" s="126"/>
      <c r="J4" s="126"/>
      <c r="K4" s="126"/>
      <c r="L4" s="127"/>
      <c r="M4" s="105"/>
    </row>
    <row r="5" ht="12" customHeight="1" spans="1:13">
      <c r="A5" s="6"/>
      <c r="B5" s="7"/>
      <c r="C5" s="8"/>
      <c r="D5" s="8"/>
      <c r="E5" s="8"/>
      <c r="F5" s="8"/>
      <c r="G5" s="9"/>
      <c r="H5" s="126">
        <v>3</v>
      </c>
      <c r="I5" s="126"/>
      <c r="J5" s="126"/>
      <c r="K5" s="126"/>
      <c r="L5" s="127"/>
      <c r="M5" s="105"/>
    </row>
    <row r="6" ht="12" customHeight="1" spans="1:13">
      <c r="A6" s="6"/>
      <c r="B6" s="7"/>
      <c r="C6" s="8"/>
      <c r="D6" s="8"/>
      <c r="E6" s="8"/>
      <c r="F6" s="8"/>
      <c r="G6" s="9"/>
      <c r="H6" s="127" t="s">
        <v>162</v>
      </c>
      <c r="I6" s="127">
        <f t="shared" ref="I6:L6" si="0">SUM(I3:I5)</f>
        <v>0</v>
      </c>
      <c r="J6" s="127">
        <f>SUM(J3:J5)</f>
        <v>0</v>
      </c>
      <c r="K6" s="127">
        <f>SUM(K3:K5)</f>
        <v>0</v>
      </c>
      <c r="L6" s="133">
        <f>SUM(L3:L5)</f>
        <v>0</v>
      </c>
      <c r="M6" s="105"/>
    </row>
    <row r="7" spans="1:13">
      <c r="A7" s="6" t="s">
        <v>176</v>
      </c>
      <c r="B7" s="11"/>
      <c r="C7" s="12"/>
      <c r="D7" s="13" t="s">
        <v>177</v>
      </c>
      <c r="E7" s="12"/>
      <c r="F7" s="12"/>
      <c r="G7" s="14" t="s">
        <v>78</v>
      </c>
      <c r="H7" s="15"/>
      <c r="I7" s="62" t="s">
        <v>7</v>
      </c>
      <c r="J7" s="13">
        <f>+K51</f>
        <v>104.34193</v>
      </c>
      <c r="K7" s="12" t="s">
        <v>8</v>
      </c>
      <c r="L7" s="12" t="s">
        <v>48</v>
      </c>
      <c r="M7" s="106"/>
    </row>
    <row r="8" spans="1:13">
      <c r="A8" s="16" t="s">
        <v>10</v>
      </c>
      <c r="B8" s="17" t="s">
        <v>178</v>
      </c>
      <c r="C8" s="18" t="s">
        <v>113</v>
      </c>
      <c r="D8" s="19">
        <v>8080750</v>
      </c>
      <c r="E8" s="19"/>
      <c r="F8" s="19"/>
      <c r="G8" s="20"/>
      <c r="H8" s="21"/>
      <c r="I8" s="62"/>
      <c r="J8" s="62"/>
      <c r="K8" s="62"/>
      <c r="L8" s="62"/>
      <c r="M8" s="105"/>
    </row>
    <row r="9" spans="1:13">
      <c r="A9" s="22" t="s">
        <v>13</v>
      </c>
      <c r="B9" s="23"/>
      <c r="C9" s="23" t="s">
        <v>14</v>
      </c>
      <c r="D9" s="23"/>
      <c r="E9" s="23"/>
      <c r="F9" s="24"/>
      <c r="G9" s="11" t="s">
        <v>15</v>
      </c>
      <c r="H9" s="23"/>
      <c r="I9" s="23"/>
      <c r="J9" s="24"/>
      <c r="K9" s="63"/>
      <c r="L9" s="64"/>
      <c r="M9" s="107"/>
    </row>
    <row r="10" ht="25.5" spans="1:13">
      <c r="A10" s="25" t="s">
        <v>16</v>
      </c>
      <c r="B10" s="25" t="s">
        <v>17</v>
      </c>
      <c r="C10" s="25" t="s">
        <v>18</v>
      </c>
      <c r="D10" s="25" t="s">
        <v>179</v>
      </c>
      <c r="E10" s="25" t="s">
        <v>180</v>
      </c>
      <c r="F10" s="25" t="s">
        <v>181</v>
      </c>
      <c r="G10" s="25" t="s">
        <v>18</v>
      </c>
      <c r="H10" s="25" t="s">
        <v>122</v>
      </c>
      <c r="I10" s="25" t="s">
        <v>182</v>
      </c>
      <c r="J10" s="25" t="s">
        <v>183</v>
      </c>
      <c r="K10" s="25" t="s">
        <v>22</v>
      </c>
      <c r="L10" s="25" t="s">
        <v>23</v>
      </c>
      <c r="M10" s="25" t="s">
        <v>24</v>
      </c>
    </row>
    <row r="11" spans="1:13">
      <c r="A11" s="99" t="s">
        <v>25</v>
      </c>
      <c r="B11" s="34">
        <f>SUM(C11:F11)</f>
        <v>20</v>
      </c>
      <c r="C11" s="34">
        <v>5</v>
      </c>
      <c r="D11" s="34">
        <v>5</v>
      </c>
      <c r="E11" s="34">
        <v>5</v>
      </c>
      <c r="F11" s="34">
        <v>5</v>
      </c>
      <c r="G11" s="48"/>
      <c r="H11" s="48"/>
      <c r="I11" s="48"/>
      <c r="J11" s="48"/>
      <c r="K11" s="48">
        <f t="shared" ref="K11:K30" si="1">SUM(G11:J11)</f>
        <v>0</v>
      </c>
      <c r="L11" s="48">
        <f>+((C11+D11+E11+F11)-(G11+H11+I11+J11))*-1</f>
        <v>-20</v>
      </c>
      <c r="M11" s="48"/>
    </row>
    <row r="12" spans="1:13">
      <c r="A12" s="29" t="s">
        <v>26</v>
      </c>
      <c r="B12" s="34">
        <f t="shared" ref="B12:B29" si="2">SUM(C12:F12)</f>
        <v>20</v>
      </c>
      <c r="C12" s="34">
        <v>7</v>
      </c>
      <c r="D12" s="34">
        <v>7</v>
      </c>
      <c r="E12" s="34">
        <v>3</v>
      </c>
      <c r="F12" s="34">
        <v>3</v>
      </c>
      <c r="G12" s="48">
        <v>8</v>
      </c>
      <c r="H12" s="48">
        <v>4</v>
      </c>
      <c r="I12" s="48">
        <v>6</v>
      </c>
      <c r="J12" s="48"/>
      <c r="K12" s="48">
        <f>SUM(G12:J12)</f>
        <v>18</v>
      </c>
      <c r="L12" s="48">
        <f t="shared" ref="L12:L30" si="3">+((C12+D12+E12+F12)-(G12+H12+I12+J12))*-1</f>
        <v>-2</v>
      </c>
      <c r="M12" s="48">
        <v>17</v>
      </c>
    </row>
    <row r="13" spans="1:17">
      <c r="A13" s="29" t="s">
        <v>27</v>
      </c>
      <c r="B13" s="34">
        <f>SUM(C13:F13)</f>
        <v>15</v>
      </c>
      <c r="C13" s="34">
        <v>2</v>
      </c>
      <c r="D13" s="34">
        <v>3</v>
      </c>
      <c r="E13" s="34">
        <v>5</v>
      </c>
      <c r="F13" s="34">
        <v>5</v>
      </c>
      <c r="G13" s="48">
        <v>20</v>
      </c>
      <c r="H13" s="48"/>
      <c r="I13" s="48">
        <v>7</v>
      </c>
      <c r="J13" s="48"/>
      <c r="K13" s="48">
        <f>SUM(G13:J13)</f>
        <v>27</v>
      </c>
      <c r="L13" s="48">
        <f>+((C13+D13+E13+F13)-(G13+H13+I13+J13))*-1</f>
        <v>12</v>
      </c>
      <c r="M13" s="48">
        <v>10</v>
      </c>
      <c r="Q13"/>
    </row>
    <row r="14" spans="1:13">
      <c r="A14" s="29" t="s">
        <v>28</v>
      </c>
      <c r="B14" s="34">
        <f>SUM(C14:F14)</f>
        <v>15</v>
      </c>
      <c r="C14" s="34">
        <v>2</v>
      </c>
      <c r="D14" s="34">
        <v>4</v>
      </c>
      <c r="E14" s="34">
        <v>4</v>
      </c>
      <c r="F14" s="34">
        <v>5</v>
      </c>
      <c r="G14" s="48"/>
      <c r="H14" s="48">
        <v>2</v>
      </c>
      <c r="I14" s="48">
        <v>1</v>
      </c>
      <c r="J14" s="48">
        <v>25</v>
      </c>
      <c r="K14" s="48">
        <f>SUM(G14:J14)</f>
        <v>28</v>
      </c>
      <c r="L14" s="48">
        <f>+((C14+D14+E14+F14)-(G14+H14+I14+J14))*-1</f>
        <v>13</v>
      </c>
      <c r="M14" s="48">
        <v>24</v>
      </c>
    </row>
    <row r="15" spans="1:13">
      <c r="A15" s="29" t="s">
        <v>29</v>
      </c>
      <c r="B15" s="34">
        <f>SUM(C15:F15)</f>
        <v>10</v>
      </c>
      <c r="C15" s="34">
        <v>2</v>
      </c>
      <c r="D15" s="34">
        <v>3</v>
      </c>
      <c r="E15" s="34">
        <v>3</v>
      </c>
      <c r="F15" s="34">
        <v>2</v>
      </c>
      <c r="G15" s="48"/>
      <c r="H15" s="48"/>
      <c r="I15" s="48"/>
      <c r="J15" s="48"/>
      <c r="K15" s="48">
        <f>SUM(G15:J15)</f>
        <v>0</v>
      </c>
      <c r="L15" s="48">
        <f>+((C15+D15+E15+F15)-(G15+H15+I15+J15))*-1</f>
        <v>-10</v>
      </c>
      <c r="M15" s="48"/>
    </row>
    <row r="16" spans="1:13">
      <c r="A16" s="29" t="s">
        <v>87</v>
      </c>
      <c r="B16" s="34">
        <f>SUM(C16:F16)</f>
        <v>12</v>
      </c>
      <c r="C16" s="34">
        <v>2</v>
      </c>
      <c r="D16" s="34">
        <v>4</v>
      </c>
      <c r="E16" s="34">
        <v>3</v>
      </c>
      <c r="F16" s="34">
        <v>3</v>
      </c>
      <c r="G16" s="48"/>
      <c r="H16" s="48"/>
      <c r="I16" s="48">
        <v>1</v>
      </c>
      <c r="J16" s="48">
        <v>3</v>
      </c>
      <c r="K16" s="48">
        <f>SUM(G16:J16)</f>
        <v>4</v>
      </c>
      <c r="L16" s="48">
        <f>+((C16+D16+E16+F16)-(G16+H16+I16+J16))*-1</f>
        <v>-8</v>
      </c>
      <c r="M16" s="48">
        <v>4</v>
      </c>
    </row>
    <row r="17" spans="1:13">
      <c r="A17" s="136" t="s">
        <v>30</v>
      </c>
      <c r="B17" s="34">
        <f>SUM(C17:F17)</f>
        <v>20</v>
      </c>
      <c r="C17" s="34">
        <v>7</v>
      </c>
      <c r="D17" s="34">
        <v>4</v>
      </c>
      <c r="E17" s="34">
        <v>4</v>
      </c>
      <c r="F17" s="34">
        <v>5</v>
      </c>
      <c r="G17" s="48">
        <v>1</v>
      </c>
      <c r="H17" s="48">
        <v>33</v>
      </c>
      <c r="I17" s="48">
        <v>4</v>
      </c>
      <c r="J17" s="48"/>
      <c r="K17" s="48">
        <f>SUM(G17:J17)</f>
        <v>38</v>
      </c>
      <c r="L17" s="48">
        <f>+((C17+D17+E17+F17)-(G17+H17+I17+J17))*-1</f>
        <v>18</v>
      </c>
      <c r="M17" s="48">
        <v>7</v>
      </c>
    </row>
    <row r="18" spans="1:13">
      <c r="A18" s="51" t="s">
        <v>31</v>
      </c>
      <c r="B18" s="34">
        <f>SUM(C18:F18)</f>
        <v>15</v>
      </c>
      <c r="C18" s="34">
        <v>3</v>
      </c>
      <c r="D18" s="34">
        <v>3</v>
      </c>
      <c r="E18" s="34">
        <v>4</v>
      </c>
      <c r="F18" s="34">
        <v>5</v>
      </c>
      <c r="G18" s="48"/>
      <c r="H18" s="48"/>
      <c r="I18" s="48"/>
      <c r="J18" s="48"/>
      <c r="K18" s="48">
        <f>SUM(G18:J18)</f>
        <v>0</v>
      </c>
      <c r="L18" s="48">
        <f>+((C18+D18+E18+F18)-(G18+H18+I18+J18))*-1</f>
        <v>-15</v>
      </c>
      <c r="M18" s="48">
        <v>32</v>
      </c>
    </row>
    <row r="19" ht="15.75" customHeight="1" spans="1:13">
      <c r="A19" s="51" t="s">
        <v>166</v>
      </c>
      <c r="B19" s="34">
        <f>SUM(C19:F19)</f>
        <v>20</v>
      </c>
      <c r="C19" s="34">
        <v>5</v>
      </c>
      <c r="D19" s="34">
        <v>5</v>
      </c>
      <c r="E19" s="34">
        <v>5</v>
      </c>
      <c r="F19" s="137">
        <v>5</v>
      </c>
      <c r="G19" s="48">
        <v>2.5</v>
      </c>
      <c r="H19" s="48">
        <v>2</v>
      </c>
      <c r="I19" s="138">
        <v>6.5</v>
      </c>
      <c r="J19" s="48"/>
      <c r="K19" s="48">
        <f>SUM(G19:J19)</f>
        <v>11</v>
      </c>
      <c r="L19" s="48">
        <f>+((C19+D19+E19+F19)-(G19+H19+I19+J19))*-1</f>
        <v>-9</v>
      </c>
      <c r="M19" s="48">
        <v>10</v>
      </c>
    </row>
    <row r="20" spans="1:16">
      <c r="A20" s="51" t="s">
        <v>141</v>
      </c>
      <c r="B20" s="34">
        <f>SUM(C20:F20)</f>
        <v>10</v>
      </c>
      <c r="C20" s="34">
        <v>1</v>
      </c>
      <c r="D20" s="34">
        <v>2</v>
      </c>
      <c r="E20" s="34">
        <v>3</v>
      </c>
      <c r="F20" s="34">
        <v>4</v>
      </c>
      <c r="G20" s="48">
        <v>1</v>
      </c>
      <c r="H20" s="48">
        <v>4</v>
      </c>
      <c r="I20" s="48">
        <v>5</v>
      </c>
      <c r="J20" s="48">
        <v>1</v>
      </c>
      <c r="K20" s="48">
        <f>SUM(G20:J20)</f>
        <v>11</v>
      </c>
      <c r="L20" s="48">
        <f>+((C20+D20+E20+F20)-(G20+H20+I20+J20))*-1</f>
        <v>1</v>
      </c>
      <c r="M20" s="48">
        <v>13</v>
      </c>
      <c r="P20" s="139"/>
    </row>
    <row r="21" spans="1:13">
      <c r="A21" s="51" t="s">
        <v>88</v>
      </c>
      <c r="B21" s="34">
        <f>SUM(C21:F21)</f>
        <v>10</v>
      </c>
      <c r="C21" s="34">
        <v>2</v>
      </c>
      <c r="D21" s="34">
        <v>2</v>
      </c>
      <c r="E21" s="34">
        <v>3</v>
      </c>
      <c r="F21" s="34">
        <v>3</v>
      </c>
      <c r="G21" s="48"/>
      <c r="H21" s="48">
        <v>1</v>
      </c>
      <c r="I21" s="48"/>
      <c r="J21" s="48"/>
      <c r="K21" s="48">
        <f>SUM(G21:J21)</f>
        <v>1</v>
      </c>
      <c r="L21" s="48">
        <f>+((C21+D21+E21+F21)-(G21+H21+I21+J21))*-1</f>
        <v>-9</v>
      </c>
      <c r="M21" s="48">
        <v>4</v>
      </c>
    </row>
    <row r="22" spans="1:13">
      <c r="A22" s="51" t="s">
        <v>167</v>
      </c>
      <c r="B22" s="34">
        <f>SUM(C22:F22)</f>
        <v>10</v>
      </c>
      <c r="C22" s="34">
        <v>1</v>
      </c>
      <c r="D22" s="34">
        <v>2</v>
      </c>
      <c r="E22" s="34">
        <v>3</v>
      </c>
      <c r="F22" s="34">
        <v>4</v>
      </c>
      <c r="G22" s="48"/>
      <c r="H22" s="48">
        <v>1.5</v>
      </c>
      <c r="I22" s="48">
        <v>6</v>
      </c>
      <c r="J22" s="48"/>
      <c r="K22" s="48">
        <f>SUM(G22:J22)</f>
        <v>7.5</v>
      </c>
      <c r="L22" s="48">
        <f>+((C22+D22+E22+F22)-(G22+H22+I22+J22))*-1</f>
        <v>-2.5</v>
      </c>
      <c r="M22" s="48">
        <v>10</v>
      </c>
    </row>
    <row r="23" spans="1:13">
      <c r="A23" s="141" t="s">
        <v>169</v>
      </c>
      <c r="B23" s="34">
        <f>SUM(C23:F23)</f>
        <v>30</v>
      </c>
      <c r="C23" s="34">
        <v>5</v>
      </c>
      <c r="D23" s="34">
        <v>5</v>
      </c>
      <c r="E23" s="34">
        <v>10</v>
      </c>
      <c r="F23" s="34">
        <v>10</v>
      </c>
      <c r="G23" s="48"/>
      <c r="H23" s="48">
        <v>6</v>
      </c>
      <c r="I23" s="48"/>
      <c r="J23" s="48"/>
      <c r="K23" s="48">
        <f>SUM(G23:J23)</f>
        <v>6</v>
      </c>
      <c r="L23" s="48">
        <f>+((C23+D23+E23+F23)-(G23+H23+I23+J23))*-1</f>
        <v>-24</v>
      </c>
      <c r="M23" s="48"/>
    </row>
    <row r="24" spans="1:13">
      <c r="A24" s="142" t="s">
        <v>171</v>
      </c>
      <c r="B24" s="34">
        <f>SUM(C24:F24)</f>
        <v>10</v>
      </c>
      <c r="C24" s="34">
        <v>2</v>
      </c>
      <c r="D24" s="34">
        <v>2</v>
      </c>
      <c r="E24" s="34">
        <v>3</v>
      </c>
      <c r="F24" s="34">
        <v>3</v>
      </c>
      <c r="G24" s="48">
        <v>5</v>
      </c>
      <c r="H24" s="48">
        <v>6</v>
      </c>
      <c r="I24" s="48"/>
      <c r="J24" s="48"/>
      <c r="K24" s="48">
        <f>SUM(G24:J24)</f>
        <v>11</v>
      </c>
      <c r="L24" s="48">
        <f>+((C24+D24+E24+F24)-(G24+H24+I24+J24))*-1</f>
        <v>1</v>
      </c>
      <c r="M24" s="48"/>
    </row>
    <row r="25" spans="1:13">
      <c r="A25" s="142" t="s">
        <v>184</v>
      </c>
      <c r="B25" s="34">
        <f>SUM(C25:F25)</f>
        <v>10</v>
      </c>
      <c r="C25" s="34">
        <v>2</v>
      </c>
      <c r="D25" s="34">
        <v>2</v>
      </c>
      <c r="E25" s="34">
        <v>2</v>
      </c>
      <c r="F25" s="34">
        <v>4</v>
      </c>
      <c r="G25" s="48"/>
      <c r="H25" s="48">
        <v>1</v>
      </c>
      <c r="I25" s="48"/>
      <c r="J25" s="48"/>
      <c r="K25" s="48">
        <f>SUM(G25:J25)</f>
        <v>1</v>
      </c>
      <c r="L25" s="48">
        <f>+((C25+D25+E25+F25)-(G25+H25+I25+J25))*-1</f>
        <v>-9</v>
      </c>
      <c r="M25" s="48"/>
    </row>
    <row r="26" spans="1:13">
      <c r="A26" s="142" t="s">
        <v>173</v>
      </c>
      <c r="B26" s="34">
        <f>SUM(C26:F26)</f>
        <v>10</v>
      </c>
      <c r="C26" s="34">
        <v>2</v>
      </c>
      <c r="D26" s="34">
        <v>2</v>
      </c>
      <c r="E26" s="34">
        <v>3</v>
      </c>
      <c r="F26" s="34">
        <v>3</v>
      </c>
      <c r="G26" s="48"/>
      <c r="H26" s="48"/>
      <c r="I26" s="48"/>
      <c r="J26" s="48"/>
      <c r="K26" s="48">
        <f>SUM(G26:J26)</f>
        <v>0</v>
      </c>
      <c r="L26" s="48">
        <f>+((C26+D26+E26+F26)-(G26+H26+I26+J26))*-1</f>
        <v>-10</v>
      </c>
      <c r="M26" s="48"/>
    </row>
    <row r="27" spans="1:13">
      <c r="A27" s="53" t="s">
        <v>33</v>
      </c>
      <c r="B27" s="34">
        <f>SUM(C27:F27)</f>
        <v>15</v>
      </c>
      <c r="C27" s="34">
        <v>2</v>
      </c>
      <c r="D27" s="34">
        <v>3</v>
      </c>
      <c r="E27" s="34">
        <v>5</v>
      </c>
      <c r="F27" s="34">
        <v>5</v>
      </c>
      <c r="G27" s="35"/>
      <c r="H27" s="35">
        <v>5</v>
      </c>
      <c r="I27" s="35">
        <v>1</v>
      </c>
      <c r="J27" s="48"/>
      <c r="K27" s="48">
        <f>SUM(G27:J27)</f>
        <v>6</v>
      </c>
      <c r="L27" s="48">
        <f>+((C27+D27+E27+F27)-(G27+H27+I27+J27))*-1</f>
        <v>-9</v>
      </c>
      <c r="M27" s="35">
        <v>10</v>
      </c>
    </row>
    <row r="28" spans="1:13">
      <c r="A28" s="53" t="s">
        <v>37</v>
      </c>
      <c r="B28" s="34"/>
      <c r="C28" s="34"/>
      <c r="D28" s="34"/>
      <c r="E28" s="34"/>
      <c r="F28" s="34"/>
      <c r="G28" s="35"/>
      <c r="H28" s="35"/>
      <c r="I28" s="35"/>
      <c r="J28" s="35"/>
      <c r="K28" s="48">
        <f>SUM(G28:J28)</f>
        <v>0</v>
      </c>
      <c r="L28" s="48">
        <f>+((C28+D28+E28+F28)-(G28+H28+I28+J28))*-1</f>
        <v>0</v>
      </c>
      <c r="M28" s="35"/>
    </row>
    <row r="29" spans="1:13">
      <c r="A29" s="53" t="s">
        <v>38</v>
      </c>
      <c r="B29" s="34">
        <f>SUM(C29:F29)</f>
        <v>40</v>
      </c>
      <c r="C29" s="34">
        <v>10</v>
      </c>
      <c r="D29" s="34">
        <v>10</v>
      </c>
      <c r="E29" s="34">
        <v>10</v>
      </c>
      <c r="F29" s="34">
        <v>10</v>
      </c>
      <c r="G29" s="38">
        <v>1</v>
      </c>
      <c r="H29" s="35">
        <v>2</v>
      </c>
      <c r="I29" s="35">
        <v>2</v>
      </c>
      <c r="J29" s="35">
        <v>77</v>
      </c>
      <c r="K29" s="48">
        <f>SUM(G29:J29)</f>
        <v>82</v>
      </c>
      <c r="L29" s="48">
        <f>+((C29+D29+E29+F29)-(G29+H29+I29+J29))*-1</f>
        <v>42</v>
      </c>
      <c r="M29" s="35">
        <v>25</v>
      </c>
    </row>
    <row r="30" spans="1:13">
      <c r="A30" s="128" t="s">
        <v>39</v>
      </c>
      <c r="B30" s="41">
        <f t="shared" ref="B30:J30" si="4">SUM(B11:B29)</f>
        <v>292</v>
      </c>
      <c r="C30" s="41">
        <f>SUM(C11:C29)</f>
        <v>62</v>
      </c>
      <c r="D30" s="41">
        <f>SUM(D11:D29)</f>
        <v>68</v>
      </c>
      <c r="E30" s="41">
        <f>SUM(E11:E29)</f>
        <v>78</v>
      </c>
      <c r="F30" s="41">
        <f>SUM(F11:F29)</f>
        <v>84</v>
      </c>
      <c r="G30" s="41">
        <f>SUM(G11:G29)</f>
        <v>38.5</v>
      </c>
      <c r="H30" s="41">
        <f>SUM(H11:H29)</f>
        <v>67.5</v>
      </c>
      <c r="I30" s="41">
        <f>SUM(I11:I29)</f>
        <v>39.5</v>
      </c>
      <c r="J30" s="41">
        <f>SUM(J11:J29)</f>
        <v>106</v>
      </c>
      <c r="K30" s="78">
        <f>SUM(G30:J30)</f>
        <v>251.5</v>
      </c>
      <c r="L30" s="48">
        <f>+((C30+D30+E30+F30)-(G30+H30+I30+J30))*-1</f>
        <v>-40.5</v>
      </c>
      <c r="M30" s="41">
        <f>SUM(M11:M29)</f>
        <v>166</v>
      </c>
    </row>
    <row r="31" spans="1:15">
      <c r="A31" s="42" t="s">
        <v>40</v>
      </c>
      <c r="B31" s="43"/>
      <c r="C31" s="44" t="s">
        <v>14</v>
      </c>
      <c r="D31" s="45"/>
      <c r="E31" s="45"/>
      <c r="F31" s="46"/>
      <c r="G31" s="44" t="s">
        <v>15</v>
      </c>
      <c r="H31" s="45"/>
      <c r="I31" s="45"/>
      <c r="J31" s="46"/>
      <c r="K31" s="83"/>
      <c r="L31" s="84"/>
      <c r="M31" s="84"/>
      <c r="N31" s="111"/>
      <c r="O31" s="90"/>
    </row>
    <row r="32" ht="25.5" spans="1:15">
      <c r="A32" s="47" t="s">
        <v>16</v>
      </c>
      <c r="B32" s="47" t="s">
        <v>17</v>
      </c>
      <c r="C32" s="47" t="s">
        <v>18</v>
      </c>
      <c r="D32" s="47" t="s">
        <v>122</v>
      </c>
      <c r="E32" s="47" t="s">
        <v>180</v>
      </c>
      <c r="F32" s="47" t="s">
        <v>183</v>
      </c>
      <c r="G32" s="47" t="s">
        <v>18</v>
      </c>
      <c r="H32" s="47" t="s">
        <v>122</v>
      </c>
      <c r="I32" s="47" t="s">
        <v>180</v>
      </c>
      <c r="J32" s="47" t="s">
        <v>183</v>
      </c>
      <c r="K32" s="47" t="s">
        <v>22</v>
      </c>
      <c r="L32" s="47" t="s">
        <v>41</v>
      </c>
      <c r="M32" s="47" t="s">
        <v>42</v>
      </c>
      <c r="N32" s="89"/>
      <c r="O32" s="90"/>
    </row>
    <row r="33" spans="1:15">
      <c r="A33" s="29" t="s">
        <v>25</v>
      </c>
      <c r="B33" s="48">
        <f>SUM(C33:F33)</f>
        <v>10.5</v>
      </c>
      <c r="C33" s="35">
        <v>2</v>
      </c>
      <c r="D33" s="34">
        <v>3</v>
      </c>
      <c r="E33" s="34">
        <v>2</v>
      </c>
      <c r="F33" s="34">
        <v>3.5</v>
      </c>
      <c r="G33" s="49">
        <f>(24300+34600+37250+18200+22050)/100000</f>
        <v>1.364</v>
      </c>
      <c r="H33" s="50">
        <f>(45000+14400+59100+23650+16510+18000+18300+21600)/100000</f>
        <v>2.1656</v>
      </c>
      <c r="I33" s="50">
        <f>(15950+17350+22950+17600+39000+15900+49690)/100000</f>
        <v>1.7844</v>
      </c>
      <c r="J33" s="50">
        <f>(99050+43700+19500)/100000</f>
        <v>1.6225</v>
      </c>
      <c r="K33" s="50">
        <f t="shared" ref="K33:K51" si="5">SUM(G33:J33)</f>
        <v>6.9365</v>
      </c>
      <c r="L33" s="50">
        <f>+((C33+D33+E33+F33)-(G33+H33+I33+J33))*-1</f>
        <v>-3.5635</v>
      </c>
      <c r="M33" s="91">
        <f>+K33/B33</f>
        <v>0.660619047619048</v>
      </c>
      <c r="N33" s="89"/>
      <c r="O33" s="90"/>
    </row>
    <row r="34" spans="1:15">
      <c r="A34" s="29" t="s">
        <v>26</v>
      </c>
      <c r="B34" s="48">
        <f t="shared" ref="B34:B51" si="6">SUM(C34:F34)</f>
        <v>14.5</v>
      </c>
      <c r="C34" s="35">
        <v>2.5</v>
      </c>
      <c r="D34" s="34">
        <v>4</v>
      </c>
      <c r="E34" s="34">
        <v>3.75</v>
      </c>
      <c r="F34" s="34">
        <v>4.25</v>
      </c>
      <c r="G34" s="129">
        <f>(23000+29000+15000+47900+47560)/100000</f>
        <v>1.6246</v>
      </c>
      <c r="H34" s="130">
        <f>(65900+43000+119100+45840+46440+38100+58400+39200)/100000</f>
        <v>4.5598</v>
      </c>
      <c r="I34" s="50">
        <f>(48400+44700+62800+29210+55600+21800+78835)/100000</f>
        <v>3.41345</v>
      </c>
      <c r="J34" s="134">
        <f>(141300+53100+42500)/100000</f>
        <v>2.369</v>
      </c>
      <c r="K34" s="50">
        <f>SUM(G34:J34)</f>
        <v>11.96685</v>
      </c>
      <c r="L34" s="50">
        <f t="shared" ref="L34:L51" si="7">+((C34+D34+E34+F34)-(G34+H34+I34+J34))*-1</f>
        <v>-2.53315</v>
      </c>
      <c r="M34" s="91">
        <f t="shared" ref="M34:M51" si="8">+K34/B34</f>
        <v>0.8253</v>
      </c>
      <c r="N34" s="92"/>
      <c r="O34" s="93"/>
    </row>
    <row r="35" spans="1:15">
      <c r="A35" s="29" t="s">
        <v>27</v>
      </c>
      <c r="B35" s="48">
        <f>SUM(C35:F35)</f>
        <v>11</v>
      </c>
      <c r="C35" s="34">
        <v>1.75</v>
      </c>
      <c r="D35" s="34">
        <v>3</v>
      </c>
      <c r="E35" s="34">
        <v>2.75</v>
      </c>
      <c r="F35" s="34">
        <v>3.5</v>
      </c>
      <c r="G35" s="129">
        <f>(20600+20800+119700+21300+41300)/100000</f>
        <v>2.237</v>
      </c>
      <c r="H35" s="50">
        <f>(19500+30510+42820+19800+19200+16700+18400+29100)/100000</f>
        <v>1.9603</v>
      </c>
      <c r="I35" s="50">
        <f>(30495+14300+48540+86040+19300+35000)/100000</f>
        <v>2.33675</v>
      </c>
      <c r="J35" s="134">
        <f>(128097+54613+183400)/100000</f>
        <v>3.6611</v>
      </c>
      <c r="K35" s="50">
        <f>SUM(G35:J35)</f>
        <v>10.19515</v>
      </c>
      <c r="L35" s="50">
        <f>+((C35+D35+E35+F35)-(G35+H35+I35+J35))*-1</f>
        <v>-0.80485</v>
      </c>
      <c r="M35" s="91">
        <f>+K35/B35</f>
        <v>0.926831818181818</v>
      </c>
      <c r="N35" s="92"/>
      <c r="O35" s="93"/>
    </row>
    <row r="36" spans="1:15">
      <c r="A36" s="29" t="s">
        <v>28</v>
      </c>
      <c r="B36" s="48">
        <f>SUM(C36:F36)</f>
        <v>8.75</v>
      </c>
      <c r="C36" s="34">
        <v>1.5</v>
      </c>
      <c r="D36" s="34">
        <v>2.5</v>
      </c>
      <c r="E36" s="34">
        <v>2</v>
      </c>
      <c r="F36" s="34">
        <v>2.75</v>
      </c>
      <c r="G36" s="129">
        <f>(8200+13900+30900+22200+18400)/100000</f>
        <v>0.936</v>
      </c>
      <c r="H36" s="140">
        <f>(37100+7900+89300+23000+11200+15600+13800+15500)/100000</f>
        <v>2.134</v>
      </c>
      <c r="I36" s="50">
        <f>(11500+12200+42000+17500+37300+14460+35000)/100000</f>
        <v>1.6996</v>
      </c>
      <c r="J36" s="134">
        <f>(14010+71400+46200)/100000</f>
        <v>1.3161</v>
      </c>
      <c r="K36" s="50">
        <f>SUM(G36:J36)</f>
        <v>6.0857</v>
      </c>
      <c r="L36" s="50">
        <f>+((C36+D36+E36+F36)-(G36+H36+I36+J36))*-1</f>
        <v>-2.6643</v>
      </c>
      <c r="M36" s="91">
        <f>+K36/B36</f>
        <v>0.695508571428571</v>
      </c>
      <c r="N36" s="92"/>
      <c r="O36" s="93"/>
    </row>
    <row r="37" spans="1:15">
      <c r="A37" s="29" t="s">
        <v>29</v>
      </c>
      <c r="B37" s="48">
        <f>SUM(C37:F37)</f>
        <v>4.25</v>
      </c>
      <c r="C37" s="34">
        <v>0.75</v>
      </c>
      <c r="D37" s="34">
        <v>1.5</v>
      </c>
      <c r="E37" s="34">
        <v>0.75</v>
      </c>
      <c r="F37" s="34">
        <v>1.25</v>
      </c>
      <c r="G37" s="129">
        <f>(6340+10000+5000)/100000</f>
        <v>0.2134</v>
      </c>
      <c r="H37" s="50">
        <f>(27500+52000+8000+13200+14800+19400+3000)/100000</f>
        <v>1.379</v>
      </c>
      <c r="I37" s="50">
        <f>(12400+62800+5000+10000+1100+3000)/100000</f>
        <v>0.943</v>
      </c>
      <c r="J37" s="134">
        <f>(122200+72300)/100000</f>
        <v>1.945</v>
      </c>
      <c r="K37" s="50">
        <f>SUM(G37:J37)</f>
        <v>4.4804</v>
      </c>
      <c r="L37" s="50">
        <f>+((C37+D37+E37+F37)-(G37+H37+I37+J37))*-1</f>
        <v>0.2304</v>
      </c>
      <c r="M37" s="91">
        <f>+K37/B37</f>
        <v>1.05421176470588</v>
      </c>
      <c r="N37" s="92"/>
      <c r="O37" s="93"/>
    </row>
    <row r="38" spans="1:15">
      <c r="A38" s="29" t="s">
        <v>87</v>
      </c>
      <c r="B38" s="48">
        <f>SUM(C38:F38)</f>
        <v>4.2</v>
      </c>
      <c r="C38" s="34">
        <v>1</v>
      </c>
      <c r="D38" s="34">
        <v>1</v>
      </c>
      <c r="E38" s="34">
        <v>1</v>
      </c>
      <c r="F38" s="34">
        <v>1.2</v>
      </c>
      <c r="G38" s="129">
        <f>(16800+9150+16400+8700+10100)/100000</f>
        <v>0.6115</v>
      </c>
      <c r="H38" s="50">
        <f>(17150+9050+33750+27550+13350+13200+13400+11200)/100000</f>
        <v>1.3865</v>
      </c>
      <c r="I38" s="50">
        <f>(2500+19300+9400+20390+33620+74770+22850)/100000</f>
        <v>1.8283</v>
      </c>
      <c r="J38" s="134">
        <f>(37370+29900+17000)/100000</f>
        <v>0.8427</v>
      </c>
      <c r="K38" s="50">
        <f>SUM(G38:J38)</f>
        <v>4.669</v>
      </c>
      <c r="L38" s="50">
        <f>+((C38+D38+E38+F38)-(G38+H38+I38+J38))*-1</f>
        <v>0.469</v>
      </c>
      <c r="M38" s="91">
        <f>+K38/B38</f>
        <v>1.11166666666667</v>
      </c>
      <c r="N38" s="92"/>
      <c r="O38" s="93"/>
    </row>
    <row r="39" spans="1:15">
      <c r="A39" s="51" t="s">
        <v>30</v>
      </c>
      <c r="B39" s="48">
        <f>SUM(C39:F39)</f>
        <v>9.25</v>
      </c>
      <c r="C39" s="35">
        <v>1.75</v>
      </c>
      <c r="D39" s="52">
        <v>3</v>
      </c>
      <c r="E39" s="52">
        <v>1.5</v>
      </c>
      <c r="F39" s="52">
        <v>3</v>
      </c>
      <c r="G39" s="129">
        <f>(15000+122800+23800+11800)/100000</f>
        <v>1.734</v>
      </c>
      <c r="H39" s="50">
        <f>(132600+7400+13000+34600+15500+25000+51200+1600)/100000</f>
        <v>2.809</v>
      </c>
      <c r="I39" s="50">
        <f>(4600+40700)/100000</f>
        <v>0.453</v>
      </c>
      <c r="J39" s="134">
        <f>(11200+14200)/100000</f>
        <v>0.254</v>
      </c>
      <c r="K39" s="50">
        <f>SUM(G39:J39)</f>
        <v>5.25</v>
      </c>
      <c r="L39" s="50">
        <f>+((C39+D39+E39+F39)-(G39+H39+I39+J39))*-1</f>
        <v>-4</v>
      </c>
      <c r="M39" s="91">
        <f>+K39/B39</f>
        <v>0.567567567567568</v>
      </c>
      <c r="N39" s="94"/>
      <c r="O39" s="95"/>
    </row>
    <row r="40" spans="1:15">
      <c r="A40" s="51" t="s">
        <v>31</v>
      </c>
      <c r="B40" s="48">
        <f>SUM(C40:F40)</f>
        <v>7.5</v>
      </c>
      <c r="C40" s="35">
        <v>1.5</v>
      </c>
      <c r="D40" s="52">
        <v>2.25</v>
      </c>
      <c r="E40" s="52">
        <v>1.25</v>
      </c>
      <c r="F40" s="52">
        <v>2.5</v>
      </c>
      <c r="G40" s="129">
        <f>(22450+19850+9600+20550+26200)/100000</f>
        <v>0.9865</v>
      </c>
      <c r="H40" s="50">
        <f>(17000+30750+16600+58600+38620+42120+15950)/100000</f>
        <v>2.1964</v>
      </c>
      <c r="I40" s="50">
        <f>(13000+39000+4000+23300+38800+15100)/100000</f>
        <v>1.332</v>
      </c>
      <c r="J40" s="134">
        <f>(75200+21900+5800)/100000</f>
        <v>1.029</v>
      </c>
      <c r="K40" s="50">
        <f>SUM(G40:J40)</f>
        <v>5.5439</v>
      </c>
      <c r="L40" s="50">
        <f>+((C40+D40+E40+F40)-(G40+H40+I40+J40))*-1</f>
        <v>-1.9561</v>
      </c>
      <c r="M40" s="91">
        <f>+K40/B40</f>
        <v>0.739186666666667</v>
      </c>
      <c r="N40" s="92"/>
      <c r="O40" s="93"/>
    </row>
    <row r="41" spans="1:15">
      <c r="A41" s="51" t="s">
        <v>141</v>
      </c>
      <c r="B41" s="48">
        <f>SUM(C41:F41)</f>
        <v>9</v>
      </c>
      <c r="C41" s="35">
        <v>2</v>
      </c>
      <c r="D41" s="52">
        <v>2.5</v>
      </c>
      <c r="E41" s="52">
        <v>1.5</v>
      </c>
      <c r="F41" s="52">
        <v>3</v>
      </c>
      <c r="G41" s="129">
        <f>(40700+22800+24900+68450+24850)/100000</f>
        <v>1.817</v>
      </c>
      <c r="H41" s="50">
        <f>(36500+24000+33200+54900+34000+49800+17200+15350)/100000</f>
        <v>2.6495</v>
      </c>
      <c r="I41" s="50">
        <f>(50800+36200+35600+32100+31300+25100+28100)/100000</f>
        <v>2.392</v>
      </c>
      <c r="J41" s="134">
        <f>(25000+4800+7200+5000+25100)/100000</f>
        <v>0.671</v>
      </c>
      <c r="K41" s="50">
        <f>SUM(G41:J41)</f>
        <v>7.5295</v>
      </c>
      <c r="L41" s="50">
        <f>+((C41+D41+E41+F41)-(G41+H41+I41+J41))*-1</f>
        <v>-1.4705</v>
      </c>
      <c r="M41" s="91">
        <f>+K41/B41</f>
        <v>0.836611111111111</v>
      </c>
      <c r="N41" s="92"/>
      <c r="O41" s="93"/>
    </row>
    <row r="42" spans="1:15">
      <c r="A42" s="51" t="s">
        <v>98</v>
      </c>
      <c r="B42" s="48">
        <f>SUM(C42:F42)</f>
        <v>6.25</v>
      </c>
      <c r="C42" s="35">
        <v>1.25</v>
      </c>
      <c r="D42" s="52">
        <v>2</v>
      </c>
      <c r="E42" s="52">
        <v>1</v>
      </c>
      <c r="F42" s="52">
        <v>2</v>
      </c>
      <c r="G42" s="129">
        <f>(12900+9800+24100+37550)/100000</f>
        <v>0.8435</v>
      </c>
      <c r="H42" s="50">
        <f>(16150+10000+67200+3200+15440+14500+12900)/100000</f>
        <v>1.3939</v>
      </c>
      <c r="I42" s="50">
        <f>(19900+52100+42100+4000+10200)/100000</f>
        <v>1.283</v>
      </c>
      <c r="J42" s="134">
        <f>(32900+33900)/100000</f>
        <v>0.668</v>
      </c>
      <c r="K42" s="50">
        <f>SUM(G42:J42)</f>
        <v>4.1884</v>
      </c>
      <c r="L42" s="50">
        <f>+((C42+D42+E42+F42)-(G42+H42+I42+J42))*-1</f>
        <v>-2.0616</v>
      </c>
      <c r="M42" s="91">
        <f>+K42/B42</f>
        <v>0.670144</v>
      </c>
      <c r="N42" s="92"/>
      <c r="O42" s="93"/>
    </row>
    <row r="43" spans="1:15">
      <c r="A43" s="51" t="s">
        <v>88</v>
      </c>
      <c r="B43" s="48">
        <f>SUM(C43:F43)</f>
        <v>5.5</v>
      </c>
      <c r="C43" s="35">
        <v>1</v>
      </c>
      <c r="D43" s="52">
        <v>1.5</v>
      </c>
      <c r="E43" s="52">
        <v>1.25</v>
      </c>
      <c r="F43" s="52">
        <v>1.75</v>
      </c>
      <c r="G43" s="129">
        <f>(15400+25300+20800+23100+20200)/100000</f>
        <v>1.048</v>
      </c>
      <c r="H43" s="50">
        <f>(22200+16800+27250+25250+17600+40400+19500+22700)/100000</f>
        <v>1.917</v>
      </c>
      <c r="I43" s="50">
        <f>(11400+33700+44500+26100+15000+4450)/100000</f>
        <v>1.3515</v>
      </c>
      <c r="J43" s="134">
        <f>(87510+18240+40950)/100000</f>
        <v>1.467</v>
      </c>
      <c r="K43" s="50">
        <f>SUM(G43:J43)</f>
        <v>5.7835</v>
      </c>
      <c r="L43" s="50">
        <f>+((C43+D43+E43+F43)-(G43+H43+I43+J43))*-1</f>
        <v>0.2835</v>
      </c>
      <c r="M43" s="91">
        <f>+K43/B43</f>
        <v>1.05154545454545</v>
      </c>
      <c r="N43" s="92"/>
      <c r="O43" s="93"/>
    </row>
    <row r="44" spans="1:15">
      <c r="A44" s="51" t="s">
        <v>167</v>
      </c>
      <c r="B44" s="48">
        <f>SUM(C44:F44)</f>
        <v>5</v>
      </c>
      <c r="C44" s="35">
        <v>1</v>
      </c>
      <c r="D44" s="52">
        <v>1.25</v>
      </c>
      <c r="E44" s="52">
        <v>1.25</v>
      </c>
      <c r="F44" s="52">
        <v>1.5</v>
      </c>
      <c r="G44" s="129">
        <f>(15000+12500+17750+27431+9800)/100000</f>
        <v>0.82481</v>
      </c>
      <c r="H44" s="50">
        <f>(10050+9950+58000+18950+61400+18850+32950+13900)/100000</f>
        <v>2.2405</v>
      </c>
      <c r="I44" s="50">
        <f>(2700+52100+12400+20000+5200+31400+27300)/100000</f>
        <v>1.511</v>
      </c>
      <c r="J44" s="134">
        <f>(9100+42550+600)/100000</f>
        <v>0.5225</v>
      </c>
      <c r="K44" s="50">
        <f>SUM(G44:J44)</f>
        <v>5.09881</v>
      </c>
      <c r="L44" s="50">
        <f>+((C44+D44+E44+F44)-(G44+H44+I44+J44))*-1</f>
        <v>0.0988100000000003</v>
      </c>
      <c r="M44" s="91">
        <f>+K44/B44</f>
        <v>1.019762</v>
      </c>
      <c r="N44" s="92"/>
      <c r="O44" s="93"/>
    </row>
    <row r="45" customHeight="1" spans="1:15">
      <c r="A45" s="51" t="s">
        <v>166</v>
      </c>
      <c r="B45" s="48">
        <f>SUM(C45:F45)</f>
        <v>3</v>
      </c>
      <c r="C45" s="35">
        <v>0.5</v>
      </c>
      <c r="D45" s="52">
        <v>0.75</v>
      </c>
      <c r="E45" s="52">
        <v>0.75</v>
      </c>
      <c r="F45" s="52">
        <v>1</v>
      </c>
      <c r="G45" s="129">
        <f>(7200+13250+39600+12000+6000)/100000</f>
        <v>0.7805</v>
      </c>
      <c r="H45" s="50">
        <f>(10700+39300+20300+22280+8700+6600+23900+22000)/100000</f>
        <v>1.5378</v>
      </c>
      <c r="I45" s="50">
        <f>(5300+600+800+20900+400+122350)/100000</f>
        <v>1.5035</v>
      </c>
      <c r="J45" s="134">
        <f>(49000+30800)/100000</f>
        <v>0.798</v>
      </c>
      <c r="K45" s="50">
        <f>SUM(G45:J45)</f>
        <v>4.6198</v>
      </c>
      <c r="L45" s="50">
        <f>+((C45+D45+E45+F45)-(G45+H45+I45+J45))*-1</f>
        <v>1.6198</v>
      </c>
      <c r="M45" s="91">
        <f>+K45/B45</f>
        <v>1.53993333333333</v>
      </c>
      <c r="N45" s="92"/>
      <c r="O45" s="93"/>
    </row>
    <row r="46" spans="1:15">
      <c r="A46" s="143" t="s">
        <v>171</v>
      </c>
      <c r="B46" s="48">
        <f>SUM(C46:F46)</f>
        <v>0.5</v>
      </c>
      <c r="C46" s="35">
        <v>0.1</v>
      </c>
      <c r="D46" s="52">
        <v>0.1</v>
      </c>
      <c r="E46" s="52">
        <v>0.1</v>
      </c>
      <c r="F46" s="52">
        <v>0.2</v>
      </c>
      <c r="G46" s="129">
        <f>(15000)/100000</f>
        <v>0.15</v>
      </c>
      <c r="H46" s="50">
        <f>(10000+5000+42200)/100000</f>
        <v>0.572</v>
      </c>
      <c r="I46" s="50"/>
      <c r="J46" s="134"/>
      <c r="K46" s="50">
        <f>SUM(G46:J46)</f>
        <v>0.722</v>
      </c>
      <c r="L46" s="50">
        <f>+((C46+D46+E46+F46)-(G46+H46+I46+J46))*-1</f>
        <v>0.222</v>
      </c>
      <c r="M46" s="91">
        <f>+K46/B46</f>
        <v>1.444</v>
      </c>
      <c r="N46" s="92"/>
      <c r="O46" s="93"/>
    </row>
    <row r="47" spans="1:15">
      <c r="A47" s="143" t="s">
        <v>185</v>
      </c>
      <c r="B47" s="48">
        <f>SUM(C47:F47)</f>
        <v>0.5</v>
      </c>
      <c r="C47" s="35">
        <v>0.1</v>
      </c>
      <c r="D47" s="52">
        <v>0.1</v>
      </c>
      <c r="E47" s="52">
        <v>0.1</v>
      </c>
      <c r="F47" s="52">
        <v>0.2</v>
      </c>
      <c r="G47" s="129">
        <f>(3000+2000+1000+4500)/100000</f>
        <v>0.105</v>
      </c>
      <c r="H47" s="50">
        <f>(1000+3000+1100+17450+1000+1000)/100000</f>
        <v>0.2455</v>
      </c>
      <c r="I47" s="50"/>
      <c r="J47" s="134"/>
      <c r="K47" s="50">
        <f>SUM(G47:J47)</f>
        <v>0.3505</v>
      </c>
      <c r="L47" s="50">
        <f>+((C47+D47+E47+F47)-(G47+H47+I47+J47))*-1</f>
        <v>-0.1495</v>
      </c>
      <c r="M47" s="91">
        <f>+K47/B47</f>
        <v>0.701</v>
      </c>
      <c r="N47" s="92"/>
      <c r="O47" s="93"/>
    </row>
    <row r="48" spans="1:15">
      <c r="A48" s="53" t="s">
        <v>37</v>
      </c>
      <c r="B48" s="48">
        <f>SUM(C48:F48)</f>
        <v>0.7</v>
      </c>
      <c r="C48" s="35">
        <v>0.2</v>
      </c>
      <c r="D48" s="52">
        <v>0.2</v>
      </c>
      <c r="E48" s="52">
        <v>0.2</v>
      </c>
      <c r="F48" s="52">
        <v>0.1</v>
      </c>
      <c r="G48" s="129">
        <f>(2200)/100000</f>
        <v>0.022</v>
      </c>
      <c r="H48" s="50"/>
      <c r="I48" s="50">
        <f>(4100)/100000</f>
        <v>0.041</v>
      </c>
      <c r="J48" s="134"/>
      <c r="K48" s="50">
        <f>SUM(G48:J48)</f>
        <v>0.063</v>
      </c>
      <c r="L48" s="50">
        <f>+((C48+D48+E48+F48)-(G48+H48+I48+J48))*-1</f>
        <v>-0.637</v>
      </c>
      <c r="M48" s="91">
        <f>+K48/B48</f>
        <v>0.09</v>
      </c>
      <c r="N48" s="92"/>
      <c r="O48" s="93"/>
    </row>
    <row r="49" spans="1:15">
      <c r="A49" s="53" t="s">
        <v>35</v>
      </c>
      <c r="B49" s="48">
        <f>SUM(C49:F49)</f>
        <v>4.5</v>
      </c>
      <c r="C49" s="35">
        <v>1</v>
      </c>
      <c r="D49" s="52">
        <v>1.25</v>
      </c>
      <c r="E49" s="52">
        <v>1</v>
      </c>
      <c r="F49" s="52">
        <v>1.25</v>
      </c>
      <c r="G49" s="129"/>
      <c r="H49" s="50">
        <f>(4430+32500+35200)/100000</f>
        <v>0.7213</v>
      </c>
      <c r="I49" s="50"/>
      <c r="J49" s="134">
        <f>(138200+66000)/100000</f>
        <v>2.042</v>
      </c>
      <c r="K49" s="50">
        <f>SUM(G49:J49)</f>
        <v>2.7633</v>
      </c>
      <c r="L49" s="50">
        <f>+((C49+D49+E49+F49)-(G49+H49+I49+J49))*-1</f>
        <v>-1.7367</v>
      </c>
      <c r="M49" s="91">
        <f>+K49/B49</f>
        <v>0.614066666666667</v>
      </c>
      <c r="N49" s="92"/>
      <c r="O49" s="93"/>
    </row>
    <row r="50" spans="1:15">
      <c r="A50" s="53" t="s">
        <v>38</v>
      </c>
      <c r="B50" s="48">
        <f>SUM(C50:F50)</f>
        <v>20.1</v>
      </c>
      <c r="C50" s="35">
        <v>2.5</v>
      </c>
      <c r="D50" s="52">
        <v>5</v>
      </c>
      <c r="E50" s="52">
        <v>5</v>
      </c>
      <c r="F50" s="52">
        <v>7.6</v>
      </c>
      <c r="G50" s="129">
        <f>(48220+62755+46200+35625+1900)/100000</f>
        <v>1.947</v>
      </c>
      <c r="H50" s="50">
        <f>(17800+39700+7860+8800+19800+26940+10400+139505+49054+28000+53715)/100000</f>
        <v>4.01574</v>
      </c>
      <c r="I50" s="50">
        <f>(25200+23760+215260+308720+24300+26600)/100000</f>
        <v>6.2384</v>
      </c>
      <c r="J50" s="134">
        <f>(149600+29710+410138)/100000</f>
        <v>5.89448</v>
      </c>
      <c r="K50" s="50">
        <f>SUM(G50:J50)</f>
        <v>18.09562</v>
      </c>
      <c r="L50" s="50">
        <f>+((C50+D50+E50+F50)-(G50+H50+I50+J50))*-1</f>
        <v>-2.00438</v>
      </c>
      <c r="M50" s="91">
        <f>+K50/B50</f>
        <v>0.90027960199005</v>
      </c>
      <c r="N50" s="92"/>
      <c r="O50" s="93"/>
    </row>
    <row r="51" spans="1:15">
      <c r="A51" s="54" t="s">
        <v>44</v>
      </c>
      <c r="B51" s="48">
        <f>SUM(C51:F51)</f>
        <v>125</v>
      </c>
      <c r="C51" s="35">
        <f t="shared" ref="C51:J51" si="9">SUM(C33:C50)</f>
        <v>22.4</v>
      </c>
      <c r="D51" s="48">
        <f>SUM(D33:D50)</f>
        <v>34.9</v>
      </c>
      <c r="E51" s="48">
        <f>SUM(E33:E50)</f>
        <v>27.15</v>
      </c>
      <c r="F51" s="48">
        <f>SUM(F33:F50)</f>
        <v>40.55</v>
      </c>
      <c r="G51" s="131">
        <f>SUM(G33:G50)</f>
        <v>17.24481</v>
      </c>
      <c r="H51" s="50">
        <f>SUM(H33:H50)</f>
        <v>33.88384</v>
      </c>
      <c r="I51" s="50">
        <f>SUM(I33:I50)</f>
        <v>28.1109</v>
      </c>
      <c r="J51" s="134">
        <f>SUM(J33:J50)</f>
        <v>25.10238</v>
      </c>
      <c r="K51" s="135">
        <f>SUM(G51:J51)</f>
        <v>104.34193</v>
      </c>
      <c r="L51" s="50">
        <f>+((C51+D51+E51+F51)-(G51+H51+I51+J51))*-1</f>
        <v>-20.65807</v>
      </c>
      <c r="M51" s="91">
        <f>+K51/B51</f>
        <v>0.83473544</v>
      </c>
      <c r="N51" s="92"/>
      <c r="O51" s="93"/>
    </row>
    <row r="52" spans="1:15">
      <c r="A52" s="55"/>
      <c r="B52" s="56"/>
      <c r="C52" s="57"/>
      <c r="N52" s="94"/>
      <c r="O52" s="95"/>
    </row>
    <row r="53" spans="14:15">
      <c r="N53" s="92"/>
      <c r="O53" s="93"/>
    </row>
    <row r="54" spans="14:15">
      <c r="N54" s="92"/>
      <c r="O54" s="93"/>
    </row>
    <row r="55" spans="14:15">
      <c r="N55" s="92"/>
      <c r="O55" s="93"/>
    </row>
    <row r="56" spans="14:15">
      <c r="N56" s="92"/>
      <c r="O56" s="93"/>
    </row>
    <row r="57" spans="14:15">
      <c r="N57" s="92"/>
      <c r="O57" s="93"/>
    </row>
    <row r="58" spans="14:15">
      <c r="N58" s="92"/>
      <c r="O58" s="93"/>
    </row>
    <row r="59" spans="14:15">
      <c r="N59" s="92"/>
      <c r="O59" s="93"/>
    </row>
    <row r="60" spans="14:15">
      <c r="N60" s="92"/>
      <c r="O60" s="93"/>
    </row>
    <row r="61" spans="14:15">
      <c r="N61" s="92"/>
      <c r="O61" s="93"/>
    </row>
    <row r="62" spans="14:15">
      <c r="N62" s="94"/>
      <c r="O62" s="95"/>
    </row>
    <row r="63" spans="14:15">
      <c r="N63" s="92"/>
      <c r="O63" s="93"/>
    </row>
    <row r="64" spans="14:15">
      <c r="N64" s="92"/>
      <c r="O64" s="93"/>
    </row>
    <row r="65" spans="14:15">
      <c r="N65" s="92"/>
      <c r="O65" s="93"/>
    </row>
    <row r="66" spans="14:15">
      <c r="N66" s="92"/>
      <c r="O66" s="93"/>
    </row>
    <row r="67" spans="14:15">
      <c r="N67" s="92"/>
      <c r="O67" s="93"/>
    </row>
    <row r="68" spans="14:15">
      <c r="N68" s="92"/>
      <c r="O68" s="93"/>
    </row>
    <row r="69" spans="14:15">
      <c r="N69" s="92"/>
      <c r="O69" s="93"/>
    </row>
    <row r="70" spans="14:15">
      <c r="N70" s="94"/>
      <c r="O70" s="95"/>
    </row>
    <row r="71" spans="14:15">
      <c r="N71" s="92"/>
      <c r="O71" s="93"/>
    </row>
    <row r="72" spans="14:15">
      <c r="N72" s="92"/>
      <c r="O72" s="93"/>
    </row>
    <row r="73" spans="14:15">
      <c r="N73" s="92"/>
      <c r="O73" s="93"/>
    </row>
    <row r="74" spans="14:15">
      <c r="N74" s="92"/>
      <c r="O74" s="93"/>
    </row>
    <row r="75" spans="14:15">
      <c r="N75" s="92"/>
      <c r="O75" s="93"/>
    </row>
    <row r="76" spans="14:15">
      <c r="N76" s="92"/>
      <c r="O76" s="93"/>
    </row>
    <row r="77" spans="14:15">
      <c r="N77" s="92"/>
      <c r="O77" s="93"/>
    </row>
    <row r="78" spans="14:15">
      <c r="N78" s="92"/>
      <c r="O78" s="96"/>
    </row>
  </sheetData>
  <mergeCells count="6">
    <mergeCell ref="B1:M1"/>
    <mergeCell ref="D8:F8"/>
    <mergeCell ref="C9:F9"/>
    <mergeCell ref="G9:J9"/>
    <mergeCell ref="C31:F31"/>
    <mergeCell ref="G31:J31"/>
  </mergeCells>
  <pageMargins left="0.708333333333333" right="0.708333333333333" top="0.747916666666667" bottom="0.747916666666667" header="0.314583333333333" footer="0.314583333333333"/>
  <pageSetup paperSize="9" orientation="landscape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72"/>
  <sheetViews>
    <sheetView workbookViewId="0">
      <selection activeCell="A1" sqref="A1:M19"/>
    </sheetView>
  </sheetViews>
  <sheetFormatPr defaultColWidth="9" defaultRowHeight="15"/>
  <cols>
    <col min="1" max="1" width="17.4285714285714" style="1" customWidth="1"/>
    <col min="2" max="2" width="9" style="2" customWidth="1"/>
    <col min="3" max="3" width="8.42857142857143" style="1" customWidth="1"/>
    <col min="4" max="4" width="8.57142857142857" style="1" customWidth="1"/>
    <col min="5" max="5" width="8.28571428571429" style="1" customWidth="1"/>
    <col min="6" max="6" width="8.71428571428571" style="1" customWidth="1"/>
    <col min="7" max="7" width="8.28571428571429" style="1" customWidth="1"/>
    <col min="8" max="8" width="8.85714285714286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ht="18" customHeight="1" spans="1:13">
      <c r="A1" s="125" t="s">
        <v>186</v>
      </c>
      <c r="B1" s="119" t="s">
        <v>187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spans="1:13">
      <c r="A2" s="6" t="s">
        <v>2</v>
      </c>
      <c r="B2" s="7">
        <f>+K29</f>
        <v>188</v>
      </c>
      <c r="C2" s="8"/>
      <c r="D2" s="8"/>
      <c r="E2" s="8"/>
      <c r="F2" s="8"/>
      <c r="G2" s="9"/>
      <c r="H2" s="126" t="s">
        <v>160</v>
      </c>
      <c r="I2" s="132" t="s">
        <v>145</v>
      </c>
      <c r="J2" s="126" t="s">
        <v>146</v>
      </c>
      <c r="K2" s="126" t="s">
        <v>147</v>
      </c>
      <c r="L2" s="126" t="s">
        <v>161</v>
      </c>
      <c r="M2" s="104"/>
    </row>
    <row r="3" ht="12" customHeight="1" spans="1:13">
      <c r="A3" s="6" t="s">
        <v>3</v>
      </c>
      <c r="B3" s="7">
        <f>+M29</f>
        <v>311</v>
      </c>
      <c r="C3" s="8"/>
      <c r="D3" s="8"/>
      <c r="E3" s="8"/>
      <c r="F3" s="8"/>
      <c r="G3" s="9"/>
      <c r="H3" s="126">
        <v>1</v>
      </c>
      <c r="I3" s="126"/>
      <c r="J3" s="126"/>
      <c r="K3" s="126"/>
      <c r="L3" s="127"/>
      <c r="M3" s="105"/>
    </row>
    <row r="4" ht="12" customHeight="1" spans="1:13">
      <c r="A4" s="6"/>
      <c r="B4" s="7"/>
      <c r="C4" s="8"/>
      <c r="D4" s="8"/>
      <c r="E4" s="8"/>
      <c r="F4" s="8"/>
      <c r="G4" s="9"/>
      <c r="H4" s="126">
        <v>2</v>
      </c>
      <c r="I4" s="126"/>
      <c r="J4" s="126"/>
      <c r="K4" s="126"/>
      <c r="L4" s="127"/>
      <c r="M4" s="105"/>
    </row>
    <row r="5" ht="12" customHeight="1" spans="1:13">
      <c r="A5" s="6"/>
      <c r="B5" s="7"/>
      <c r="C5" s="8"/>
      <c r="D5" s="8"/>
      <c r="E5" s="8"/>
      <c r="F5" s="8"/>
      <c r="G5" s="9"/>
      <c r="H5" s="126">
        <v>3</v>
      </c>
      <c r="I5" s="126"/>
      <c r="J5" s="126"/>
      <c r="K5" s="126"/>
      <c r="L5" s="127"/>
      <c r="M5" s="105"/>
    </row>
    <row r="6" ht="12" customHeight="1" spans="1:13">
      <c r="A6" s="6"/>
      <c r="B6" s="7"/>
      <c r="C6" s="8"/>
      <c r="D6" s="8"/>
      <c r="E6" s="8"/>
      <c r="F6" s="8"/>
      <c r="G6" s="9"/>
      <c r="H6" s="127" t="s">
        <v>162</v>
      </c>
      <c r="I6" s="127">
        <f t="shared" ref="I6:L6" si="0">SUM(I3:I5)</f>
        <v>0</v>
      </c>
      <c r="J6" s="127">
        <f>SUM(J3:J5)</f>
        <v>0</v>
      </c>
      <c r="K6" s="127">
        <f>SUM(K3:K5)</f>
        <v>0</v>
      </c>
      <c r="L6" s="133">
        <f>SUM(L3:L5)</f>
        <v>0</v>
      </c>
      <c r="M6" s="105"/>
    </row>
    <row r="7" spans="1:13">
      <c r="A7" s="6" t="s">
        <v>188</v>
      </c>
      <c r="B7" s="11"/>
      <c r="C7" s="12"/>
      <c r="D7" s="13" t="s">
        <v>189</v>
      </c>
      <c r="E7" s="12"/>
      <c r="F7" s="12"/>
      <c r="G7" s="14" t="s">
        <v>78</v>
      </c>
      <c r="H7" s="15"/>
      <c r="I7" s="62" t="s">
        <v>7</v>
      </c>
      <c r="J7" s="13">
        <f>+K45</f>
        <v>119.33527</v>
      </c>
      <c r="K7" s="12" t="s">
        <v>8</v>
      </c>
      <c r="L7" s="12" t="s">
        <v>128</v>
      </c>
      <c r="M7" s="106"/>
    </row>
    <row r="8" spans="1:13">
      <c r="A8" s="16" t="s">
        <v>10</v>
      </c>
      <c r="B8" s="17" t="s">
        <v>190</v>
      </c>
      <c r="C8" s="18" t="s">
        <v>50</v>
      </c>
      <c r="D8" s="19">
        <v>11191500</v>
      </c>
      <c r="E8" s="19"/>
      <c r="F8" s="19"/>
      <c r="G8" s="20"/>
      <c r="H8" s="21"/>
      <c r="I8" s="62"/>
      <c r="J8" s="62"/>
      <c r="K8" s="62"/>
      <c r="L8" s="62"/>
      <c r="M8" s="105"/>
    </row>
    <row r="9" spans="1:13">
      <c r="A9" s="22" t="s">
        <v>13</v>
      </c>
      <c r="B9" s="23"/>
      <c r="C9" s="23" t="s">
        <v>14</v>
      </c>
      <c r="D9" s="23"/>
      <c r="E9" s="23"/>
      <c r="F9" s="24"/>
      <c r="G9" s="11" t="s">
        <v>15</v>
      </c>
      <c r="H9" s="23"/>
      <c r="I9" s="23"/>
      <c r="J9" s="24"/>
      <c r="K9" s="63"/>
      <c r="L9" s="64"/>
      <c r="M9" s="107"/>
    </row>
    <row r="10" ht="25.5" spans="1:13">
      <c r="A10" s="25" t="s">
        <v>16</v>
      </c>
      <c r="B10" s="25" t="s">
        <v>17</v>
      </c>
      <c r="C10" s="25" t="s">
        <v>18</v>
      </c>
      <c r="D10" s="25" t="s">
        <v>179</v>
      </c>
      <c r="E10" s="25" t="s">
        <v>180</v>
      </c>
      <c r="F10" s="25" t="s">
        <v>130</v>
      </c>
      <c r="G10" s="25" t="s">
        <v>18</v>
      </c>
      <c r="H10" s="25" t="s">
        <v>122</v>
      </c>
      <c r="I10" s="25" t="s">
        <v>182</v>
      </c>
      <c r="J10" s="25" t="s">
        <v>65</v>
      </c>
      <c r="K10" s="25" t="s">
        <v>22</v>
      </c>
      <c r="L10" s="25" t="s">
        <v>23</v>
      </c>
      <c r="M10" s="25" t="s">
        <v>24</v>
      </c>
    </row>
    <row r="11" spans="1:13">
      <c r="A11" s="25" t="s">
        <v>191</v>
      </c>
      <c r="B11" s="33">
        <f>SUM(C11:F11)</f>
        <v>10</v>
      </c>
      <c r="C11" s="33"/>
      <c r="D11" s="33">
        <v>5</v>
      </c>
      <c r="E11" s="33">
        <v>5</v>
      </c>
      <c r="F11" s="33"/>
      <c r="G11" s="33"/>
      <c r="H11" s="33"/>
      <c r="I11" s="33"/>
      <c r="J11" s="33">
        <v>6</v>
      </c>
      <c r="K11" s="33">
        <f>SUM(G11:J11)</f>
        <v>6</v>
      </c>
      <c r="L11" s="48">
        <f>+((C11+D11+E11+F11)-(G11+H11+I11+J11))*-1</f>
        <v>-4</v>
      </c>
      <c r="M11" s="33"/>
    </row>
    <row r="12" spans="1:13">
      <c r="A12" s="29" t="s">
        <v>192</v>
      </c>
      <c r="B12" s="33">
        <f t="shared" ref="B12:B29" si="1">SUM(C12:F12)</f>
        <v>20</v>
      </c>
      <c r="C12" s="34">
        <v>5</v>
      </c>
      <c r="D12" s="34">
        <v>5</v>
      </c>
      <c r="E12" s="34">
        <v>5</v>
      </c>
      <c r="F12" s="34">
        <v>5</v>
      </c>
      <c r="G12" s="48"/>
      <c r="H12" s="48"/>
      <c r="I12" s="48">
        <v>5</v>
      </c>
      <c r="J12" s="48"/>
      <c r="K12" s="48">
        <f t="shared" ref="K12:K29" si="2">SUM(G12:J12)</f>
        <v>5</v>
      </c>
      <c r="L12" s="48">
        <f t="shared" ref="L12:L29" si="3">+((C12+D12+E12+F12)-(G12+H12+I12+J12))*-1</f>
        <v>-15</v>
      </c>
      <c r="M12" s="48">
        <v>11</v>
      </c>
    </row>
    <row r="13" spans="1:13">
      <c r="A13" s="29" t="s">
        <v>26</v>
      </c>
      <c r="B13" s="33">
        <f>SUM(C13:F13)</f>
        <v>20</v>
      </c>
      <c r="C13" s="34">
        <v>7</v>
      </c>
      <c r="D13" s="34">
        <v>7</v>
      </c>
      <c r="E13" s="34">
        <v>3</v>
      </c>
      <c r="F13" s="34">
        <v>3</v>
      </c>
      <c r="G13" s="48"/>
      <c r="H13" s="48">
        <v>15</v>
      </c>
      <c r="I13" s="48"/>
      <c r="J13" s="48">
        <v>5</v>
      </c>
      <c r="K13" s="48">
        <f>SUM(G13:J13)</f>
        <v>20</v>
      </c>
      <c r="L13" s="48">
        <f>+((C13+D13+E13+F13)-(G13+H13+I13+J13))*-1</f>
        <v>0</v>
      </c>
      <c r="M13" s="48">
        <v>12</v>
      </c>
    </row>
    <row r="14" spans="1:17">
      <c r="A14" s="29" t="s">
        <v>27</v>
      </c>
      <c r="B14" s="33">
        <f>SUM(C14:F14)</f>
        <v>15</v>
      </c>
      <c r="C14" s="34">
        <v>2</v>
      </c>
      <c r="D14" s="34">
        <v>3</v>
      </c>
      <c r="E14" s="34">
        <v>5</v>
      </c>
      <c r="F14" s="34">
        <v>5</v>
      </c>
      <c r="G14" s="48">
        <v>6</v>
      </c>
      <c r="H14" s="48">
        <v>2</v>
      </c>
      <c r="I14" s="48"/>
      <c r="J14" s="48">
        <v>9</v>
      </c>
      <c r="K14" s="48">
        <f>SUM(G14:J14)</f>
        <v>17</v>
      </c>
      <c r="L14" s="48">
        <f>+((C14+D14+E14+F14)-(G14+H14+I14+J14))*-1</f>
        <v>2</v>
      </c>
      <c r="M14" s="48">
        <v>32</v>
      </c>
      <c r="Q14"/>
    </row>
    <row r="15" spans="1:13">
      <c r="A15" s="29" t="s">
        <v>28</v>
      </c>
      <c r="B15" s="33">
        <f>SUM(C15:F15)</f>
        <v>15</v>
      </c>
      <c r="C15" s="34">
        <v>2</v>
      </c>
      <c r="D15" s="34">
        <v>4</v>
      </c>
      <c r="E15" s="34">
        <v>4</v>
      </c>
      <c r="F15" s="34">
        <v>5</v>
      </c>
      <c r="G15" s="48">
        <v>5</v>
      </c>
      <c r="H15" s="48">
        <v>0</v>
      </c>
      <c r="I15" s="48">
        <v>3</v>
      </c>
      <c r="J15" s="48">
        <v>7</v>
      </c>
      <c r="K15" s="48">
        <f>SUM(G15:J15)</f>
        <v>15</v>
      </c>
      <c r="L15" s="48">
        <f>+((C15+D15+E15+F15)-(G15+H15+I15+J15))*-1</f>
        <v>0</v>
      </c>
      <c r="M15" s="48">
        <v>22</v>
      </c>
    </row>
    <row r="16" spans="1:13">
      <c r="A16" s="29" t="s">
        <v>29</v>
      </c>
      <c r="B16" s="33">
        <f>SUM(C16:F16)</f>
        <v>0</v>
      </c>
      <c r="C16" s="34">
        <v>0</v>
      </c>
      <c r="D16" s="34">
        <v>0</v>
      </c>
      <c r="E16" s="34">
        <v>0</v>
      </c>
      <c r="F16" s="34">
        <v>0</v>
      </c>
      <c r="G16" s="48"/>
      <c r="H16" s="48"/>
      <c r="I16" s="48"/>
      <c r="J16" s="48">
        <v>1</v>
      </c>
      <c r="K16" s="48">
        <f>SUM(G16:J16)</f>
        <v>1</v>
      </c>
      <c r="L16" s="48">
        <f>+((C16+D16+E16+F16)-(G16+H16+I16+J16))*-1</f>
        <v>1</v>
      </c>
      <c r="M16" s="48">
        <v>18</v>
      </c>
    </row>
    <row r="17" spans="1:13">
      <c r="A17" s="29" t="s">
        <v>87</v>
      </c>
      <c r="B17" s="33">
        <f>SUM(C17:F17)</f>
        <v>12</v>
      </c>
      <c r="C17" s="34">
        <v>2</v>
      </c>
      <c r="D17" s="34">
        <v>4</v>
      </c>
      <c r="E17" s="34">
        <v>3</v>
      </c>
      <c r="F17" s="34">
        <v>3</v>
      </c>
      <c r="G17" s="48">
        <v>1</v>
      </c>
      <c r="H17" s="48">
        <v>4</v>
      </c>
      <c r="I17" s="48"/>
      <c r="J17" s="48">
        <v>3.5</v>
      </c>
      <c r="K17" s="48">
        <f>SUM(G17:J17)</f>
        <v>8.5</v>
      </c>
      <c r="L17" s="48">
        <f>+((C17+D17+E17+F17)-(G17+H17+I17+J17))*-1</f>
        <v>-3.5</v>
      </c>
      <c r="M17" s="48">
        <v>23</v>
      </c>
    </row>
    <row r="18" spans="1:13">
      <c r="A18" s="29" t="s">
        <v>193</v>
      </c>
      <c r="B18" s="33">
        <f>SUM(C18:F18)</f>
        <v>10</v>
      </c>
      <c r="C18" s="34">
        <v>2</v>
      </c>
      <c r="D18" s="34">
        <v>2</v>
      </c>
      <c r="E18" s="34">
        <v>3</v>
      </c>
      <c r="F18" s="34">
        <v>3</v>
      </c>
      <c r="G18" s="48">
        <v>5</v>
      </c>
      <c r="H18" s="48">
        <v>2</v>
      </c>
      <c r="I18" s="48"/>
      <c r="J18" s="48">
        <v>4</v>
      </c>
      <c r="K18" s="48">
        <f>SUM(G18:J18)</f>
        <v>11</v>
      </c>
      <c r="L18" s="48">
        <f>+((C18+D18+E18+F18)-(G18+H18+I18+J18))*-1</f>
        <v>1</v>
      </c>
      <c r="M18" s="48"/>
    </row>
    <row r="19" spans="1:13">
      <c r="A19" s="29" t="s">
        <v>173</v>
      </c>
      <c r="B19" s="33">
        <f>SUM(C19:F19)</f>
        <v>10</v>
      </c>
      <c r="C19" s="34">
        <v>2</v>
      </c>
      <c r="D19" s="34">
        <v>2</v>
      </c>
      <c r="E19" s="34">
        <v>3</v>
      </c>
      <c r="F19" s="34">
        <v>3</v>
      </c>
      <c r="G19" s="48">
        <v>2</v>
      </c>
      <c r="H19" s="48">
        <v>1</v>
      </c>
      <c r="I19" s="48"/>
      <c r="J19" s="48">
        <v>5</v>
      </c>
      <c r="K19" s="48">
        <f>SUM(G19:J19)</f>
        <v>8</v>
      </c>
      <c r="L19" s="48">
        <f>+((C19+D19+E19+F19)-(G19+H19+I19+J19))*-1</f>
        <v>-2</v>
      </c>
      <c r="M19" s="48"/>
    </row>
    <row r="20" spans="1:13">
      <c r="A20" s="136" t="s">
        <v>194</v>
      </c>
      <c r="B20" s="33">
        <f>SUM(C20:F20)</f>
        <v>10</v>
      </c>
      <c r="C20" s="34">
        <v>0</v>
      </c>
      <c r="D20" s="34">
        <v>5</v>
      </c>
      <c r="E20" s="34">
        <v>0</v>
      </c>
      <c r="F20" s="34">
        <v>5</v>
      </c>
      <c r="G20" s="48"/>
      <c r="H20" s="48"/>
      <c r="I20" s="48"/>
      <c r="J20" s="48"/>
      <c r="K20" s="48"/>
      <c r="L20" s="48">
        <f>+((C20+D20+E20+F20)-(G20+H20+I20+J20))*-1</f>
        <v>-10</v>
      </c>
      <c r="M20" s="48"/>
    </row>
    <row r="21" spans="1:13">
      <c r="A21" s="51" t="s">
        <v>195</v>
      </c>
      <c r="B21" s="33">
        <f>SUM(C21:F21)</f>
        <v>20</v>
      </c>
      <c r="C21" s="34">
        <v>7</v>
      </c>
      <c r="D21" s="34">
        <v>4</v>
      </c>
      <c r="E21" s="34">
        <v>4</v>
      </c>
      <c r="F21" s="34">
        <v>5</v>
      </c>
      <c r="G21" s="48">
        <v>2</v>
      </c>
      <c r="H21" s="48">
        <v>0</v>
      </c>
      <c r="I21" s="48"/>
      <c r="J21" s="48"/>
      <c r="K21" s="48">
        <f>SUM(G21:J21)</f>
        <v>2</v>
      </c>
      <c r="L21" s="48">
        <f>+((C21+D21+E21+F21)-(G21+H21+I21+J21))*-1</f>
        <v>-18</v>
      </c>
      <c r="M21" s="48">
        <v>29</v>
      </c>
    </row>
    <row r="22" spans="1:13">
      <c r="A22" s="51" t="s">
        <v>31</v>
      </c>
      <c r="B22" s="33">
        <f>SUM(C22:F22)</f>
        <v>15</v>
      </c>
      <c r="C22" s="34">
        <v>3</v>
      </c>
      <c r="D22" s="34">
        <v>3</v>
      </c>
      <c r="E22" s="34">
        <v>4</v>
      </c>
      <c r="F22" s="34">
        <v>5</v>
      </c>
      <c r="G22" s="48">
        <v>6.5</v>
      </c>
      <c r="H22" s="48">
        <v>1</v>
      </c>
      <c r="I22" s="48">
        <v>1</v>
      </c>
      <c r="J22" s="48">
        <v>3.5</v>
      </c>
      <c r="K22" s="48">
        <f>SUM(G22:J22)</f>
        <v>12</v>
      </c>
      <c r="L22" s="48">
        <f>+((C22+D22+E22+F22)-(G22+H22+I22+J22))*-1</f>
        <v>-3</v>
      </c>
      <c r="M22" s="48">
        <v>55</v>
      </c>
    </row>
    <row r="23" ht="16.5" customHeight="1" spans="1:13">
      <c r="A23" s="51" t="s">
        <v>166</v>
      </c>
      <c r="B23" s="33">
        <f>SUM(C23:F23)</f>
        <v>20</v>
      </c>
      <c r="C23" s="34">
        <v>5</v>
      </c>
      <c r="D23" s="34">
        <v>5</v>
      </c>
      <c r="E23" s="34">
        <v>5</v>
      </c>
      <c r="F23" s="137">
        <v>5</v>
      </c>
      <c r="G23" s="48">
        <v>6</v>
      </c>
      <c r="H23" s="48">
        <v>5</v>
      </c>
      <c r="I23" s="138"/>
      <c r="J23" s="48">
        <v>9</v>
      </c>
      <c r="K23" s="48">
        <f>SUM(G23:J23)</f>
        <v>20</v>
      </c>
      <c r="L23" s="48">
        <f>+((C23+D23+E23+F23)-(G23+H23+I23+J23))*-1</f>
        <v>0</v>
      </c>
      <c r="M23" s="48">
        <v>33</v>
      </c>
    </row>
    <row r="24" spans="1:16">
      <c r="A24" s="51" t="s">
        <v>141</v>
      </c>
      <c r="B24" s="33">
        <f>SUM(C24:F24)</f>
        <v>10</v>
      </c>
      <c r="C24" s="34">
        <v>1</v>
      </c>
      <c r="D24" s="34">
        <v>2</v>
      </c>
      <c r="E24" s="34">
        <v>3</v>
      </c>
      <c r="F24" s="34">
        <v>4</v>
      </c>
      <c r="G24" s="48">
        <v>6</v>
      </c>
      <c r="H24" s="48">
        <v>4</v>
      </c>
      <c r="I24" s="48">
        <v>1</v>
      </c>
      <c r="J24" s="48">
        <v>1</v>
      </c>
      <c r="K24" s="48">
        <f>SUM(G24:J24)</f>
        <v>12</v>
      </c>
      <c r="L24" s="48">
        <f>+((C24+D24+E24+F24)-(G24+H24+I24+J24))*-1</f>
        <v>2</v>
      </c>
      <c r="M24" s="48">
        <v>37</v>
      </c>
      <c r="P24" s="139"/>
    </row>
    <row r="25" spans="1:13">
      <c r="A25" s="51" t="s">
        <v>167</v>
      </c>
      <c r="B25" s="33">
        <f>SUM(C25:F25)</f>
        <v>10</v>
      </c>
      <c r="C25" s="34">
        <v>1</v>
      </c>
      <c r="D25" s="34">
        <v>2</v>
      </c>
      <c r="E25" s="34">
        <v>3</v>
      </c>
      <c r="F25" s="34">
        <v>4</v>
      </c>
      <c r="G25" s="48"/>
      <c r="H25" s="48">
        <v>3</v>
      </c>
      <c r="I25" s="48"/>
      <c r="J25" s="48">
        <v>2</v>
      </c>
      <c r="K25" s="48">
        <f>SUM(G25:J25)</f>
        <v>5</v>
      </c>
      <c r="L25" s="48">
        <f>+((C25+D25+E25+F25)-(G25+H25+I25+J25))*-1</f>
        <v>-5</v>
      </c>
      <c r="M25" s="48">
        <v>19</v>
      </c>
    </row>
    <row r="26" spans="1:13">
      <c r="A26" s="53" t="s">
        <v>33</v>
      </c>
      <c r="B26" s="33">
        <f>SUM(C26:F26)</f>
        <v>15</v>
      </c>
      <c r="C26" s="34">
        <v>2</v>
      </c>
      <c r="D26" s="34">
        <v>3</v>
      </c>
      <c r="E26" s="34">
        <v>5</v>
      </c>
      <c r="F26" s="34">
        <v>5</v>
      </c>
      <c r="G26" s="35"/>
      <c r="H26" s="35">
        <v>3.5</v>
      </c>
      <c r="I26" s="35">
        <v>4</v>
      </c>
      <c r="J26" s="48"/>
      <c r="K26" s="48">
        <f>SUM(G26:J26)</f>
        <v>7.5</v>
      </c>
      <c r="L26" s="48">
        <f>+((C26+D26+E26+F26)-(G26+H26+I26+J26))*-1</f>
        <v>-7.5</v>
      </c>
      <c r="M26" s="35">
        <v>10</v>
      </c>
    </row>
    <row r="27" spans="1:13">
      <c r="A27" s="53" t="s">
        <v>37</v>
      </c>
      <c r="B27" s="33">
        <f>SUM(C27:F27)</f>
        <v>0</v>
      </c>
      <c r="C27" s="34"/>
      <c r="D27" s="34"/>
      <c r="E27" s="34"/>
      <c r="F27" s="34"/>
      <c r="G27" s="35"/>
      <c r="H27" s="35"/>
      <c r="I27" s="35"/>
      <c r="J27" s="35"/>
      <c r="K27" s="48">
        <f>SUM(G27:J27)</f>
        <v>0</v>
      </c>
      <c r="L27" s="48">
        <f>+((C27+D27+E27+F27)-(G27+H27+I27+J27))*-1</f>
        <v>0</v>
      </c>
      <c r="M27" s="35"/>
    </row>
    <row r="28" spans="1:13">
      <c r="A28" s="53" t="s">
        <v>38</v>
      </c>
      <c r="B28" s="33">
        <f>SUM(C28:F28)</f>
        <v>40</v>
      </c>
      <c r="C28" s="34">
        <v>10</v>
      </c>
      <c r="D28" s="34">
        <v>10</v>
      </c>
      <c r="E28" s="34">
        <v>10</v>
      </c>
      <c r="F28" s="34">
        <v>10</v>
      </c>
      <c r="G28" s="38">
        <v>5</v>
      </c>
      <c r="H28" s="35">
        <v>2</v>
      </c>
      <c r="I28" s="35">
        <v>5</v>
      </c>
      <c r="J28" s="35">
        <v>26</v>
      </c>
      <c r="K28" s="48">
        <f>SUM(G28:J28)</f>
        <v>38</v>
      </c>
      <c r="L28" s="48">
        <f>+((C28+D28+E28+F28)-(G28+H28+I28+J28))*-1</f>
        <v>-2</v>
      </c>
      <c r="M28" s="35">
        <v>10</v>
      </c>
    </row>
    <row r="29" spans="1:13">
      <c r="A29" s="128" t="s">
        <v>39</v>
      </c>
      <c r="B29" s="33">
        <f>SUM(C29:F29)</f>
        <v>252</v>
      </c>
      <c r="C29" s="41">
        <f>SUM(C12:C28)</f>
        <v>51</v>
      </c>
      <c r="D29" s="41">
        <f t="shared" ref="D29:J29" si="4">SUM(D11:D28)</f>
        <v>66</v>
      </c>
      <c r="E29" s="41">
        <f>SUM(E11:E28)</f>
        <v>65</v>
      </c>
      <c r="F29" s="41">
        <f>SUM(F11:F28)</f>
        <v>70</v>
      </c>
      <c r="G29" s="41">
        <f>SUM(G11:G28)</f>
        <v>44.5</v>
      </c>
      <c r="H29" s="41">
        <f>SUM(H11:H28)</f>
        <v>42.5</v>
      </c>
      <c r="I29" s="41">
        <f>SUM(I11:I28)</f>
        <v>19</v>
      </c>
      <c r="J29" s="41">
        <f>SUM(J11:J28)</f>
        <v>82</v>
      </c>
      <c r="K29" s="78">
        <f>SUM(G29:J29)</f>
        <v>188</v>
      </c>
      <c r="L29" s="48">
        <f>+((C29+D29+E29+F29)-(G29+H29+I29+J29))*-1</f>
        <v>-64</v>
      </c>
      <c r="M29" s="41">
        <f>SUM(M12:M28)</f>
        <v>311</v>
      </c>
    </row>
    <row r="30" spans="1:15">
      <c r="A30" s="42" t="s">
        <v>40</v>
      </c>
      <c r="B30" s="43"/>
      <c r="C30" s="44" t="s">
        <v>14</v>
      </c>
      <c r="D30" s="45"/>
      <c r="E30" s="45"/>
      <c r="F30" s="46"/>
      <c r="G30" s="44" t="s">
        <v>15</v>
      </c>
      <c r="H30" s="45"/>
      <c r="I30" s="45"/>
      <c r="J30" s="46"/>
      <c r="K30" s="83"/>
      <c r="L30" s="84"/>
      <c r="M30" s="84"/>
      <c r="N30" s="111"/>
      <c r="O30" s="90"/>
    </row>
    <row r="31" ht="25.5" spans="1:15">
      <c r="A31" s="47" t="s">
        <v>16</v>
      </c>
      <c r="B31" s="47" t="s">
        <v>17</v>
      </c>
      <c r="C31" s="47" t="s">
        <v>18</v>
      </c>
      <c r="D31" s="47" t="s">
        <v>122</v>
      </c>
      <c r="E31" s="47" t="s">
        <v>180</v>
      </c>
      <c r="F31" s="47" t="s">
        <v>131</v>
      </c>
      <c r="G31" s="47" t="s">
        <v>18</v>
      </c>
      <c r="H31" s="47" t="s">
        <v>122</v>
      </c>
      <c r="I31" s="47" t="s">
        <v>180</v>
      </c>
      <c r="J31" s="47" t="s">
        <v>65</v>
      </c>
      <c r="K31" s="47" t="s">
        <v>22</v>
      </c>
      <c r="L31" s="47" t="s">
        <v>41</v>
      </c>
      <c r="M31" s="47" t="s">
        <v>42</v>
      </c>
      <c r="N31" s="89"/>
      <c r="O31" s="90"/>
    </row>
    <row r="32" spans="1:15">
      <c r="A32" s="29" t="s">
        <v>25</v>
      </c>
      <c r="B32" s="48">
        <f>SUM(C32:F32)</f>
        <v>10.5</v>
      </c>
      <c r="C32" s="35">
        <v>2</v>
      </c>
      <c r="D32" s="34">
        <v>3</v>
      </c>
      <c r="E32" s="34">
        <v>2</v>
      </c>
      <c r="F32" s="34">
        <v>3.5</v>
      </c>
      <c r="G32" s="49">
        <f>(33400+18550+32700+51200+29200)/100000</f>
        <v>1.6505</v>
      </c>
      <c r="H32" s="50">
        <f>(28800+165350+72395+41300+76400)/100000</f>
        <v>3.84245</v>
      </c>
      <c r="I32" s="50">
        <f>(25300+115100+31300+38300+42200+27500)/100000</f>
        <v>2.797</v>
      </c>
      <c r="J32" s="50">
        <f>(145700+85650+33800+35600+22600+242550)/100000</f>
        <v>5.659</v>
      </c>
      <c r="K32" s="50">
        <f t="shared" ref="K32:K45" si="5">SUM(G32:J32)</f>
        <v>13.94895</v>
      </c>
      <c r="L32" s="50">
        <f>+((C32+D32+E32+F32)-(G32+H32+I32+J32))*-1</f>
        <v>3.44895</v>
      </c>
      <c r="M32" s="91">
        <f>+K32/B32</f>
        <v>1.32847142857143</v>
      </c>
      <c r="N32" s="89"/>
      <c r="O32" s="90"/>
    </row>
    <row r="33" spans="1:15">
      <c r="A33" s="29" t="s">
        <v>26</v>
      </c>
      <c r="B33" s="48">
        <f t="shared" ref="B33:B45" si="6">SUM(C33:F33)</f>
        <v>14.5</v>
      </c>
      <c r="C33" s="35">
        <v>2.5</v>
      </c>
      <c r="D33" s="34">
        <v>4</v>
      </c>
      <c r="E33" s="34">
        <v>3.75</v>
      </c>
      <c r="F33" s="34">
        <v>4.25</v>
      </c>
      <c r="G33" s="129">
        <f>(14300+34000+49660+46920+48400+35100)/100000</f>
        <v>2.2838</v>
      </c>
      <c r="H33" s="130">
        <f>(58880+99500+76120+22300+71600)/100000</f>
        <v>3.284</v>
      </c>
      <c r="I33" s="50">
        <f>(45800+83800+50000+82600+28720+85900)/100000</f>
        <v>3.7682</v>
      </c>
      <c r="J33" s="134">
        <f>(95600+80900+36200+20020+38310+52260)/100000</f>
        <v>3.2329</v>
      </c>
      <c r="K33" s="50">
        <f>SUM(G33:J33)</f>
        <v>12.5689</v>
      </c>
      <c r="L33" s="50">
        <f t="shared" ref="L33:L45" si="7">+((C33+D33+E33+F33)-(G33+H33+I33+J33))*-1</f>
        <v>-1.9311</v>
      </c>
      <c r="M33" s="91">
        <f t="shared" ref="M33:M45" si="8">+K33/B33</f>
        <v>0.866820689655172</v>
      </c>
      <c r="N33" s="92"/>
      <c r="O33" s="93"/>
    </row>
    <row r="34" spans="1:15">
      <c r="A34" s="29" t="s">
        <v>27</v>
      </c>
      <c r="B34" s="48">
        <f>SUM(C34:F34)</f>
        <v>12</v>
      </c>
      <c r="C34" s="34">
        <v>2</v>
      </c>
      <c r="D34" s="34">
        <v>3.5</v>
      </c>
      <c r="E34" s="34">
        <v>3</v>
      </c>
      <c r="F34" s="34">
        <v>3.5</v>
      </c>
      <c r="G34" s="129">
        <f>(17170+22825+39100+43100+44410+29400)/100000</f>
        <v>1.96005</v>
      </c>
      <c r="H34" s="50">
        <f>(20180+36300+30800+16100+31100)/100000</f>
        <v>1.3448</v>
      </c>
      <c r="I34" s="50">
        <f>(140200+29400+26400+25800+22000+31400)/100000</f>
        <v>2.752</v>
      </c>
      <c r="J34" s="134">
        <f>(31700+330300+36900+40786+88600+132700)/100000</f>
        <v>6.60986</v>
      </c>
      <c r="K34" s="50">
        <f>SUM(G34:J34)</f>
        <v>12.66671</v>
      </c>
      <c r="L34" s="50">
        <f>+((C34+D34+E34+F34)-(G34+H34+I34+J34))*-1</f>
        <v>0.66671</v>
      </c>
      <c r="M34" s="91">
        <f>+K34/B34</f>
        <v>1.05555916666667</v>
      </c>
      <c r="N34" s="92"/>
      <c r="O34" s="93"/>
    </row>
    <row r="35" spans="1:15">
      <c r="A35" s="29" t="s">
        <v>28</v>
      </c>
      <c r="B35" s="48">
        <f>SUM(C35:F35)</f>
        <v>8.75</v>
      </c>
      <c r="C35" s="34">
        <v>1.5</v>
      </c>
      <c r="D35" s="34">
        <v>2.5</v>
      </c>
      <c r="E35" s="34">
        <v>2</v>
      </c>
      <c r="F35" s="34">
        <v>2.75</v>
      </c>
      <c r="G35" s="129">
        <f>(14500+17350+10350+15000+32420)/100000</f>
        <v>0.8962</v>
      </c>
      <c r="H35" s="140"/>
      <c r="I35" s="50"/>
      <c r="J35" s="134"/>
      <c r="K35" s="50">
        <f>SUM(G35:J35)</f>
        <v>0.8962</v>
      </c>
      <c r="L35" s="50">
        <f>+((C35+D35+E35+F35)-(G35+H35+I35+J35))*-1</f>
        <v>-7.8538</v>
      </c>
      <c r="M35" s="91">
        <f>+K35/B35</f>
        <v>0.102422857142857</v>
      </c>
      <c r="N35" s="92"/>
      <c r="O35" s="93"/>
    </row>
    <row r="36" spans="1:15">
      <c r="A36" s="29" t="s">
        <v>29</v>
      </c>
      <c r="B36" s="48">
        <f>SUM(C36:F36)</f>
        <v>4.25</v>
      </c>
      <c r="C36" s="34">
        <v>0.75</v>
      </c>
      <c r="D36" s="34">
        <v>1.5</v>
      </c>
      <c r="E36" s="34">
        <v>0.75</v>
      </c>
      <c r="F36" s="34">
        <v>1.25</v>
      </c>
      <c r="G36" s="129">
        <f>(1500+3000+3000+18000+4000)/100000</f>
        <v>0.295</v>
      </c>
      <c r="H36" s="50">
        <f>(7400+48000+13900+6000+7600)/100000</f>
        <v>0.829</v>
      </c>
      <c r="I36" s="50">
        <f>(4000+16200+44000+3800)/100000</f>
        <v>0.68</v>
      </c>
      <c r="J36" s="134">
        <f>(9900+67100+10000+3000+62100)/100000</f>
        <v>1.521</v>
      </c>
      <c r="K36" s="50">
        <f>SUM(G36:J36)</f>
        <v>3.325</v>
      </c>
      <c r="L36" s="50">
        <f>+((C36+D36+E36+F36)-(G36+H36+I36+J36))*-1</f>
        <v>-0.925</v>
      </c>
      <c r="M36" s="91">
        <f>+K36/B36</f>
        <v>0.782352941176471</v>
      </c>
      <c r="N36" s="92"/>
      <c r="O36" s="93"/>
    </row>
    <row r="37" spans="1:15">
      <c r="A37" s="29" t="s">
        <v>87</v>
      </c>
      <c r="B37" s="48">
        <f>SUM(C37:F37)</f>
        <v>4.75</v>
      </c>
      <c r="C37" s="34">
        <v>1</v>
      </c>
      <c r="D37" s="34">
        <v>1.25</v>
      </c>
      <c r="E37" s="34">
        <v>1.25</v>
      </c>
      <c r="F37" s="34">
        <v>1.25</v>
      </c>
      <c r="G37" s="129">
        <f>(9300+10600+14200+18340+12350+15100)/100000</f>
        <v>0.7989</v>
      </c>
      <c r="H37" s="50">
        <f>(38425+14390+17800+14700+21400)/100000</f>
        <v>1.06715</v>
      </c>
      <c r="I37" s="50">
        <f>(29960+4700+16500+94110+8800+44710)/100000</f>
        <v>1.9878</v>
      </c>
      <c r="J37" s="134">
        <f>(33900+15900+6500+10300+28000+9900)/100000</f>
        <v>1.045</v>
      </c>
      <c r="K37" s="50">
        <f>SUM(G37:J37)</f>
        <v>4.89885</v>
      </c>
      <c r="L37" s="50">
        <f>+((C37+D37+E37+F37)-(G37+H37+I37+J37))*-1</f>
        <v>0.148849999999999</v>
      </c>
      <c r="M37" s="91">
        <f>+K37/B37</f>
        <v>1.03133684210526</v>
      </c>
      <c r="N37" s="92"/>
      <c r="O37" s="93"/>
    </row>
    <row r="38" spans="1:15">
      <c r="A38" s="51" t="s">
        <v>196</v>
      </c>
      <c r="B38" s="48">
        <f>SUM(C38:F38)</f>
        <v>14.5</v>
      </c>
      <c r="C38" s="35">
        <v>3</v>
      </c>
      <c r="D38" s="52">
        <v>4</v>
      </c>
      <c r="E38" s="52">
        <v>3</v>
      </c>
      <c r="F38" s="52">
        <v>4.5</v>
      </c>
      <c r="G38" s="129">
        <f>(15120+59800+53100+46100+41100+6100+68000)/100000</f>
        <v>2.8932</v>
      </c>
      <c r="H38" s="50">
        <f>(23200+60300+100300+51300+30900)/100000</f>
        <v>2.66</v>
      </c>
      <c r="I38" s="50">
        <f>(44750+44840+51000+28100+20550+56400)/100000</f>
        <v>2.4564</v>
      </c>
      <c r="J38" s="134">
        <f>(57500+60650+34600+27000+21200+63600)/100000</f>
        <v>2.6455</v>
      </c>
      <c r="K38" s="50">
        <f>SUM(G38:J38)</f>
        <v>10.6551</v>
      </c>
      <c r="L38" s="50">
        <f>+((C38+D38+E38+F38)-(G38+H38+I38+J38))*-1</f>
        <v>-3.8449</v>
      </c>
      <c r="M38" s="91">
        <f>+K38/B38</f>
        <v>0.734834482758621</v>
      </c>
      <c r="N38" s="94"/>
      <c r="O38" s="95"/>
    </row>
    <row r="39" spans="1:15">
      <c r="A39" s="51" t="s">
        <v>197</v>
      </c>
      <c r="B39" s="48">
        <f>SUM(C39:F39)</f>
        <v>14.5</v>
      </c>
      <c r="C39" s="35">
        <v>3.5</v>
      </c>
      <c r="D39" s="52">
        <v>4</v>
      </c>
      <c r="E39" s="52">
        <v>3</v>
      </c>
      <c r="F39" s="52">
        <v>4</v>
      </c>
      <c r="G39" s="129">
        <f>(5000+31350+66800+82900+31900+1500+600+49761)/100000</f>
        <v>2.69811</v>
      </c>
      <c r="H39" s="50">
        <f>(81700+1100+71000+104750+28800+84760+24500+400)/100000</f>
        <v>3.9701</v>
      </c>
      <c r="I39" s="50">
        <f>(45150+52200+43635+72880+30300+31750+800+34700)/100000</f>
        <v>3.11415</v>
      </c>
      <c r="J39" s="134">
        <f>(74600+39760+28250+28350+31850+42700)/100000</f>
        <v>2.4551</v>
      </c>
      <c r="K39" s="50">
        <f>SUM(G39:J39)</f>
        <v>12.23746</v>
      </c>
      <c r="L39" s="50">
        <f>+((C39+D39+E39+F39)-(G39+H39+I39+J39))*-1</f>
        <v>-2.26254</v>
      </c>
      <c r="M39" s="91">
        <f>+K39/B39</f>
        <v>0.84396275862069</v>
      </c>
      <c r="N39" s="92"/>
      <c r="O39" s="93"/>
    </row>
    <row r="40" spans="1:15">
      <c r="A40" s="51" t="s">
        <v>198</v>
      </c>
      <c r="B40" s="48">
        <f>SUM(C40:F40)</f>
        <v>9</v>
      </c>
      <c r="C40" s="35">
        <v>2</v>
      </c>
      <c r="D40" s="52">
        <v>2.5</v>
      </c>
      <c r="E40" s="52">
        <v>1.5</v>
      </c>
      <c r="F40" s="52">
        <v>3</v>
      </c>
      <c r="G40" s="129">
        <f>(17400+22850+8800+31200+3200+17600+2550)/100000</f>
        <v>1.036</v>
      </c>
      <c r="H40" s="50">
        <f>(27900+300+58750+500+51100+28200+31400+10000+16000)/100000</f>
        <v>2.2415</v>
      </c>
      <c r="I40" s="50">
        <f>(19800+34000+5900+1100+200+300+6100+200+21000+16000+5000+37100+25100+24100+28300)/100000</f>
        <v>2.242</v>
      </c>
      <c r="J40" s="134">
        <f>(24200+45800+12500+7700+3000+8200+25960+3500+20600+24400+2600+3000)/100000</f>
        <v>1.8146</v>
      </c>
      <c r="K40" s="50">
        <f>SUM(G40:J40)</f>
        <v>7.3341</v>
      </c>
      <c r="L40" s="50">
        <f>+((C40+D40+E40+F40)-(G40+H40+I40+J40))*-1</f>
        <v>-1.6659</v>
      </c>
      <c r="M40" s="91">
        <f>+K40/B40</f>
        <v>0.8149</v>
      </c>
      <c r="N40" s="92"/>
      <c r="O40" s="93"/>
    </row>
    <row r="41" spans="1:15">
      <c r="A41" s="51" t="s">
        <v>199</v>
      </c>
      <c r="B41" s="48">
        <f>SUM(C41:F41)</f>
        <v>6</v>
      </c>
      <c r="C41" s="35">
        <v>1</v>
      </c>
      <c r="D41" s="52">
        <v>1.25</v>
      </c>
      <c r="E41" s="52">
        <v>1.25</v>
      </c>
      <c r="F41" s="52">
        <v>2.5</v>
      </c>
      <c r="G41" s="129">
        <f>(3900+14900+62850+13900+14500)/100000</f>
        <v>1.1005</v>
      </c>
      <c r="H41" s="50">
        <f>(7000+2400+2400+2400+10000+24400)/100000</f>
        <v>0.486</v>
      </c>
      <c r="I41" s="50">
        <f>(5400+28700+69100+7300+16100+2500)/100000</f>
        <v>1.291</v>
      </c>
      <c r="J41" s="134">
        <f>(10800+20300+8900+4000+35300+500+54900+13300)/100000</f>
        <v>1.48</v>
      </c>
      <c r="K41" s="50">
        <f>SUM(G41:J41)</f>
        <v>4.3575</v>
      </c>
      <c r="L41" s="50">
        <f>+((C41+D41+E41+F41)-(G41+H41+I41+J41))*-1</f>
        <v>-1.6425</v>
      </c>
      <c r="M41" s="91">
        <f>+K41/B41</f>
        <v>0.72625</v>
      </c>
      <c r="N41" s="92"/>
      <c r="O41" s="93"/>
    </row>
    <row r="42" spans="1:15">
      <c r="A42" s="51" t="s">
        <v>200</v>
      </c>
      <c r="B42" s="48">
        <f>SUM(C42:F42)</f>
        <v>6</v>
      </c>
      <c r="C42" s="35">
        <v>1</v>
      </c>
      <c r="D42" s="52">
        <v>2</v>
      </c>
      <c r="E42" s="52">
        <v>1</v>
      </c>
      <c r="F42" s="52">
        <v>2</v>
      </c>
      <c r="G42" s="129">
        <f>(5600+15200+108150+27500+7900+5500+1100+23400)/100000</f>
        <v>1.9435</v>
      </c>
      <c r="H42" s="50">
        <f>(14900+123700+27400+18320+36500)/100000</f>
        <v>2.2082</v>
      </c>
      <c r="I42" s="50">
        <f>(34400+24580+57900+96200+8400+49820)/100000</f>
        <v>2.713</v>
      </c>
      <c r="J42" s="134">
        <f>(12100+26200+8900+15500+19130+6500)/100000</f>
        <v>0.8833</v>
      </c>
      <c r="K42" s="50">
        <f>SUM(G42:J42)</f>
        <v>7.748</v>
      </c>
      <c r="L42" s="50">
        <f>+((C42+D42+E42+F42)-(G42+H42+I42+J42))*-1</f>
        <v>1.748</v>
      </c>
      <c r="M42" s="91">
        <f>+K42/B42</f>
        <v>1.29133333333333</v>
      </c>
      <c r="N42" s="92"/>
      <c r="O42" s="93"/>
    </row>
    <row r="43" spans="1:15">
      <c r="A43" s="53" t="s">
        <v>35</v>
      </c>
      <c r="B43" s="48">
        <f>SUM(C43:F43)</f>
        <v>4.6</v>
      </c>
      <c r="C43" s="35">
        <v>1</v>
      </c>
      <c r="D43" s="52">
        <v>1.25</v>
      </c>
      <c r="E43" s="52">
        <v>1</v>
      </c>
      <c r="F43" s="52">
        <v>1.35</v>
      </c>
      <c r="G43" s="129"/>
      <c r="H43" s="50">
        <f>(88000+14000)/100000</f>
        <v>1.02</v>
      </c>
      <c r="I43" s="50"/>
      <c r="J43" s="134">
        <f>(66000+150560)/100000</f>
        <v>2.1656</v>
      </c>
      <c r="K43" s="50">
        <f>SUM(G43:J43)</f>
        <v>3.1856</v>
      </c>
      <c r="L43" s="50">
        <f>+((C43+D43+E43+F43)-(G43+H43+I43+J43))*-1</f>
        <v>-1.4144</v>
      </c>
      <c r="M43" s="91">
        <f>+K43/B43</f>
        <v>0.692521739130435</v>
      </c>
      <c r="N43" s="92"/>
      <c r="O43" s="93"/>
    </row>
    <row r="44" spans="1:15">
      <c r="A44" s="53" t="s">
        <v>38</v>
      </c>
      <c r="B44" s="48">
        <f>SUM(C44:F44)</f>
        <v>20.65</v>
      </c>
      <c r="C44" s="35">
        <v>2.7</v>
      </c>
      <c r="D44" s="52">
        <v>5.2</v>
      </c>
      <c r="E44" s="52">
        <v>5.1</v>
      </c>
      <c r="F44" s="52">
        <v>7.65</v>
      </c>
      <c r="G44" s="129">
        <f>(32600+15760+73750+567350+138742+10000+200+142490+29300)/100000</f>
        <v>10.10192</v>
      </c>
      <c r="H44" s="50">
        <f>(55851+83765+22300+38330+55600)/100000</f>
        <v>2.55846</v>
      </c>
      <c r="I44" s="50">
        <f>(5000+122099+35000+320150+133150+21200+59010)/100000</f>
        <v>6.95609</v>
      </c>
      <c r="J44" s="134">
        <f>(143100+104400+55685+11900+105110+34000+79438+56010)/100000</f>
        <v>5.89643</v>
      </c>
      <c r="K44" s="50">
        <f>SUM(G44:J44)</f>
        <v>25.5129</v>
      </c>
      <c r="L44" s="50">
        <f>+((C44+D44+E44+F44)-(G44+H44+I44+J44))*-1</f>
        <v>4.8629</v>
      </c>
      <c r="M44" s="91">
        <f>+K44/B44</f>
        <v>1.23549152542373</v>
      </c>
      <c r="N44" s="92"/>
      <c r="O44" s="93"/>
    </row>
    <row r="45" spans="1:15">
      <c r="A45" s="54" t="s">
        <v>44</v>
      </c>
      <c r="B45" s="48">
        <f>SUM(C45:F45)</f>
        <v>130</v>
      </c>
      <c r="C45" s="35">
        <f t="shared" ref="C45:J45" si="9">SUM(C32:C44)</f>
        <v>23.95</v>
      </c>
      <c r="D45" s="48">
        <f>SUM(D32:D44)</f>
        <v>35.95</v>
      </c>
      <c r="E45" s="48">
        <f>SUM(E32:E44)</f>
        <v>28.6</v>
      </c>
      <c r="F45" s="48">
        <f>SUM(F32:F44)</f>
        <v>41.5</v>
      </c>
      <c r="G45" s="131">
        <f>SUM(G32:G44)</f>
        <v>27.65768</v>
      </c>
      <c r="H45" s="50">
        <f>SUM(H32:H44)</f>
        <v>25.51166</v>
      </c>
      <c r="I45" s="50">
        <f>SUM(I32:I44)</f>
        <v>30.75764</v>
      </c>
      <c r="J45" s="134">
        <f>SUM(J32:J44)</f>
        <v>35.40829</v>
      </c>
      <c r="K45" s="135">
        <f>SUM(G45:J45)</f>
        <v>119.33527</v>
      </c>
      <c r="L45" s="50">
        <f>+((C45+D45+E45+F45)-(G45+H45+I45+J45))*-1</f>
        <v>-10.66473</v>
      </c>
      <c r="M45" s="91">
        <f>+K45/B45</f>
        <v>0.917963615384615</v>
      </c>
      <c r="N45" s="92"/>
      <c r="O45" s="93"/>
    </row>
    <row r="46" spans="1:15">
      <c r="A46" s="55"/>
      <c r="B46" s="56"/>
      <c r="C46" s="57"/>
      <c r="N46" s="94"/>
      <c r="O46" s="95"/>
    </row>
    <row r="47" spans="14:15">
      <c r="N47" s="92"/>
      <c r="O47" s="93"/>
    </row>
    <row r="48" spans="14:15">
      <c r="N48" s="92"/>
      <c r="O48" s="93"/>
    </row>
    <row r="49" s="1" customFormat="1" spans="14:15">
      <c r="N49" s="92"/>
      <c r="O49" s="93"/>
    </row>
    <row r="50" s="1" customFormat="1" spans="14:15">
      <c r="N50" s="92"/>
      <c r="O50" s="93"/>
    </row>
    <row r="51" s="1" customFormat="1" spans="14:15">
      <c r="N51" s="92"/>
      <c r="O51" s="93"/>
    </row>
    <row r="52" s="1" customFormat="1" spans="14:15">
      <c r="N52" s="92"/>
      <c r="O52" s="93"/>
    </row>
    <row r="53" s="1" customFormat="1" spans="14:15">
      <c r="N53" s="92"/>
      <c r="O53" s="93"/>
    </row>
    <row r="54" s="1" customFormat="1" spans="14:15">
      <c r="N54" s="92"/>
      <c r="O54" s="93"/>
    </row>
    <row r="55" s="1" customFormat="1" spans="14:15">
      <c r="N55" s="92"/>
      <c r="O55" s="93"/>
    </row>
    <row r="56" s="1" customFormat="1" spans="14:15">
      <c r="N56" s="94"/>
      <c r="O56" s="95"/>
    </row>
    <row r="57" s="1" customFormat="1" spans="14:15">
      <c r="N57" s="92"/>
      <c r="O57" s="93"/>
    </row>
    <row r="58" s="1" customFormat="1" spans="14:15">
      <c r="N58" s="92"/>
      <c r="O58" s="93"/>
    </row>
    <row r="59" s="1" customFormat="1" spans="14:15">
      <c r="N59" s="92"/>
      <c r="O59" s="93"/>
    </row>
    <row r="60" s="1" customFormat="1" spans="14:15">
      <c r="N60" s="92"/>
      <c r="O60" s="93"/>
    </row>
    <row r="61" s="1" customFormat="1" spans="14:15">
      <c r="N61" s="92"/>
      <c r="O61" s="93"/>
    </row>
    <row r="62" s="1" customFormat="1" spans="14:15">
      <c r="N62" s="92"/>
      <c r="O62" s="93"/>
    </row>
    <row r="63" s="1" customFormat="1" spans="14:15">
      <c r="N63" s="92"/>
      <c r="O63" s="93"/>
    </row>
    <row r="64" s="1" customFormat="1" spans="14:15">
      <c r="N64" s="94"/>
      <c r="O64" s="95"/>
    </row>
    <row r="65" s="1" customFormat="1" spans="14:15">
      <c r="N65" s="92"/>
      <c r="O65" s="93"/>
    </row>
    <row r="66" s="1" customFormat="1" spans="14:15">
      <c r="N66" s="92"/>
      <c r="O66" s="93"/>
    </row>
    <row r="67" s="1" customFormat="1" spans="14:15">
      <c r="N67" s="92"/>
      <c r="O67" s="93"/>
    </row>
    <row r="68" s="1" customFormat="1" spans="14:15">
      <c r="N68" s="92"/>
      <c r="O68" s="93"/>
    </row>
    <row r="69" s="1" customFormat="1" spans="14:15">
      <c r="N69" s="92"/>
      <c r="O69" s="93"/>
    </row>
    <row r="70" s="1" customFormat="1" spans="14:15">
      <c r="N70" s="92"/>
      <c r="O70" s="93"/>
    </row>
    <row r="71" s="1" customFormat="1" spans="14:15">
      <c r="N71" s="92"/>
      <c r="O71" s="93"/>
    </row>
    <row r="72" s="1" customFormat="1" spans="14:15">
      <c r="N72" s="92"/>
      <c r="O72" s="96"/>
    </row>
  </sheetData>
  <mergeCells count="6">
    <mergeCell ref="B1:M1"/>
    <mergeCell ref="D8:F8"/>
    <mergeCell ref="C9:F9"/>
    <mergeCell ref="G9:J9"/>
    <mergeCell ref="C30:F30"/>
    <mergeCell ref="G30:J30"/>
  </mergeCells>
  <pageMargins left="0.699305555555556" right="0.699305555555556" top="0.75" bottom="0.75" header="0.3" footer="0.3"/>
  <pageSetup paperSize="1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6"/>
  <sheetViews>
    <sheetView topLeftCell="A23" workbookViewId="0">
      <selection activeCell="A1" sqref="A1:M39"/>
    </sheetView>
  </sheetViews>
  <sheetFormatPr defaultColWidth="9" defaultRowHeight="15"/>
  <cols>
    <col min="1" max="1" width="22.4285714285714" style="1" customWidth="1"/>
    <col min="2" max="2" width="9.57142857142857" style="2" customWidth="1"/>
    <col min="3" max="3" width="10.1428571428571" style="1" customWidth="1"/>
    <col min="4" max="4" width="10.2857142857143" style="1" customWidth="1"/>
    <col min="5" max="5" width="10" style="1" customWidth="1"/>
    <col min="6" max="6" width="9.57142857142857" style="1" customWidth="1"/>
    <col min="7" max="7" width="12.8571428571429" style="1" customWidth="1"/>
    <col min="8" max="8" width="9.85714285714286" style="1" customWidth="1"/>
    <col min="9" max="9" width="10" style="1" customWidth="1"/>
    <col min="10" max="10" width="10.4285714285714" style="1" customWidth="1"/>
    <col min="11" max="12" width="10.7142857142857" style="1" customWidth="1"/>
    <col min="13" max="13" width="10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ht="13.5" customHeight="1" spans="1:13">
      <c r="A1" s="125" t="s">
        <v>45</v>
      </c>
      <c r="B1" s="166" t="s">
        <v>46</v>
      </c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200"/>
    </row>
    <row r="2" ht="12.75" customHeight="1" spans="1:13">
      <c r="A2" s="168" t="s">
        <v>2</v>
      </c>
      <c r="B2" s="169">
        <f>+K22</f>
        <v>120</v>
      </c>
      <c r="C2" s="60"/>
      <c r="D2" s="60"/>
      <c r="E2" s="60"/>
      <c r="F2" s="60"/>
      <c r="G2" s="60"/>
      <c r="H2" s="60"/>
      <c r="I2" s="60"/>
      <c r="J2" s="60"/>
      <c r="K2" s="60"/>
      <c r="L2" s="60"/>
      <c r="M2" s="201"/>
    </row>
    <row r="3" ht="14.25" customHeight="1" spans="1:13">
      <c r="A3" s="168" t="s">
        <v>3</v>
      </c>
      <c r="B3" s="169">
        <f>+M22</f>
        <v>179</v>
      </c>
      <c r="C3" s="60"/>
      <c r="D3" s="60"/>
      <c r="E3" s="60"/>
      <c r="F3" s="60"/>
      <c r="G3" s="60"/>
      <c r="H3" s="60"/>
      <c r="I3" s="60"/>
      <c r="J3" s="60"/>
      <c r="K3" s="60"/>
      <c r="L3" s="60"/>
      <c r="M3" s="201"/>
    </row>
    <row r="4" spans="1:13">
      <c r="A4" s="168" t="s">
        <v>47</v>
      </c>
      <c r="B4" s="170"/>
      <c r="C4" s="171"/>
      <c r="D4" s="172" t="s">
        <v>5</v>
      </c>
      <c r="E4" s="171">
        <v>6</v>
      </c>
      <c r="F4" s="171"/>
      <c r="G4" s="173" t="s">
        <v>6</v>
      </c>
      <c r="H4" s="174">
        <v>5470250</v>
      </c>
      <c r="I4" s="171" t="s">
        <v>7</v>
      </c>
      <c r="J4" s="172">
        <f>+K39</f>
        <v>70.17201</v>
      </c>
      <c r="K4" s="171" t="s">
        <v>8</v>
      </c>
      <c r="L4" s="171" t="s">
        <v>48</v>
      </c>
      <c r="M4" s="202"/>
    </row>
    <row r="5" spans="1:13">
      <c r="A5" s="175" t="s">
        <v>10</v>
      </c>
      <c r="B5" s="176" t="s">
        <v>49</v>
      </c>
      <c r="C5" s="177" t="s">
        <v>50</v>
      </c>
      <c r="D5" s="178">
        <v>5921750</v>
      </c>
      <c r="E5" s="178"/>
      <c r="F5" s="178"/>
      <c r="G5" s="179"/>
      <c r="H5" s="180"/>
      <c r="I5" s="203"/>
      <c r="J5" s="203"/>
      <c r="K5" s="203"/>
      <c r="L5" s="203"/>
      <c r="M5" s="204"/>
    </row>
    <row r="6" spans="1:13">
      <c r="A6" s="75" t="s">
        <v>13</v>
      </c>
      <c r="B6" s="181"/>
      <c r="C6" s="181" t="s">
        <v>14</v>
      </c>
      <c r="D6" s="181"/>
      <c r="E6" s="181"/>
      <c r="F6" s="182"/>
      <c r="G6" s="170" t="s">
        <v>15</v>
      </c>
      <c r="H6" s="181"/>
      <c r="I6" s="181"/>
      <c r="J6" s="182"/>
      <c r="K6" s="205"/>
      <c r="L6" s="206"/>
      <c r="M6" s="207"/>
    </row>
    <row r="7" ht="27.75" customHeight="1" spans="1:13">
      <c r="A7" s="183" t="s">
        <v>16</v>
      </c>
      <c r="B7" s="183" t="s">
        <v>17</v>
      </c>
      <c r="C7" s="183" t="s">
        <v>18</v>
      </c>
      <c r="D7" s="183" t="s">
        <v>19</v>
      </c>
      <c r="E7" s="183" t="s">
        <v>20</v>
      </c>
      <c r="F7" s="183" t="s">
        <v>21</v>
      </c>
      <c r="G7" s="183" t="s">
        <v>18</v>
      </c>
      <c r="H7" s="183" t="s">
        <v>19</v>
      </c>
      <c r="I7" s="183" t="s">
        <v>20</v>
      </c>
      <c r="J7" s="183" t="s">
        <v>21</v>
      </c>
      <c r="K7" s="183" t="s">
        <v>22</v>
      </c>
      <c r="L7" s="183" t="s">
        <v>23</v>
      </c>
      <c r="M7" s="183" t="s">
        <v>24</v>
      </c>
    </row>
    <row r="8" spans="1:13">
      <c r="A8" s="184" t="s">
        <v>25</v>
      </c>
      <c r="B8" s="185">
        <f>SUM(C8:F8)</f>
        <v>15</v>
      </c>
      <c r="C8" s="185">
        <v>2</v>
      </c>
      <c r="D8" s="185">
        <v>3</v>
      </c>
      <c r="E8" s="185">
        <v>5</v>
      </c>
      <c r="F8" s="185">
        <v>5</v>
      </c>
      <c r="G8" s="76"/>
      <c r="H8" s="76">
        <v>10</v>
      </c>
      <c r="I8" s="76"/>
      <c r="J8" s="76">
        <v>5</v>
      </c>
      <c r="K8" s="186">
        <f t="shared" ref="K8:K9" si="0">SUM(G8:J8)</f>
        <v>15</v>
      </c>
      <c r="L8" s="186">
        <f>+((C8+D8+E8+F8)-(G8+H8+I8+J8))*-1</f>
        <v>0</v>
      </c>
      <c r="M8" s="76"/>
    </row>
    <row r="9" spans="1:13">
      <c r="A9" s="184" t="s">
        <v>26</v>
      </c>
      <c r="B9" s="185">
        <f t="shared" ref="B9:B21" si="1">SUM(C9:F9)</f>
        <v>15</v>
      </c>
      <c r="C9" s="185">
        <v>5</v>
      </c>
      <c r="D9" s="185">
        <v>3</v>
      </c>
      <c r="E9" s="185">
        <v>5</v>
      </c>
      <c r="F9" s="185">
        <v>2</v>
      </c>
      <c r="G9" s="186">
        <v>15</v>
      </c>
      <c r="H9" s="76"/>
      <c r="I9" s="76"/>
      <c r="J9" s="76"/>
      <c r="K9" s="186">
        <f>SUM(G9:J9)</f>
        <v>15</v>
      </c>
      <c r="L9" s="186">
        <f t="shared" ref="L9:L22" si="2">+((C9+D9+E9+F9)-(G9+H9+I9+J9))*-1</f>
        <v>0</v>
      </c>
      <c r="M9" s="186">
        <v>42</v>
      </c>
    </row>
    <row r="10" spans="1:13">
      <c r="A10" s="184" t="s">
        <v>27</v>
      </c>
      <c r="B10" s="185">
        <f>SUM(C10:F10)</f>
        <v>12</v>
      </c>
      <c r="C10" s="185">
        <v>2</v>
      </c>
      <c r="D10" s="185">
        <v>3</v>
      </c>
      <c r="E10" s="185">
        <v>4</v>
      </c>
      <c r="F10" s="185">
        <v>3</v>
      </c>
      <c r="G10" s="186">
        <v>2.5</v>
      </c>
      <c r="H10" s="76"/>
      <c r="I10" s="76">
        <v>2</v>
      </c>
      <c r="J10" s="76"/>
      <c r="K10" s="186">
        <f t="shared" ref="K10:K21" si="3">SUM(G10:J10)</f>
        <v>4.5</v>
      </c>
      <c r="L10" s="186">
        <f>+((C10+D10+E10+F10)-(G10+H10+I10+J10))*-1</f>
        <v>-7.5</v>
      </c>
      <c r="M10" s="186">
        <v>47</v>
      </c>
    </row>
    <row r="11" spans="1:13">
      <c r="A11" s="184" t="s">
        <v>28</v>
      </c>
      <c r="B11" s="185">
        <f>SUM(C11:F11)</f>
        <v>12</v>
      </c>
      <c r="C11" s="185">
        <v>3</v>
      </c>
      <c r="D11" s="185">
        <v>2</v>
      </c>
      <c r="E11" s="185">
        <v>4</v>
      </c>
      <c r="F11" s="185">
        <v>3</v>
      </c>
      <c r="G11" s="186">
        <v>2.5</v>
      </c>
      <c r="H11" s="76">
        <v>5.5</v>
      </c>
      <c r="I11" s="76"/>
      <c r="J11" s="76">
        <v>4</v>
      </c>
      <c r="K11" s="186">
        <f>SUM(G11:J11)</f>
        <v>12</v>
      </c>
      <c r="L11" s="186">
        <f>+((C11+D11+E11+F11)-(G11+H11+I11+J11))*-1</f>
        <v>0</v>
      </c>
      <c r="M11" s="186">
        <v>9</v>
      </c>
    </row>
    <row r="12" spans="1:13">
      <c r="A12" s="184" t="s">
        <v>29</v>
      </c>
      <c r="B12" s="185">
        <f>SUM(C12:F12)</f>
        <v>10</v>
      </c>
      <c r="C12" s="185">
        <v>2</v>
      </c>
      <c r="D12" s="185">
        <v>2</v>
      </c>
      <c r="E12" s="185">
        <v>3</v>
      </c>
      <c r="F12" s="185">
        <v>3</v>
      </c>
      <c r="G12" s="186"/>
      <c r="H12" s="76">
        <v>1</v>
      </c>
      <c r="I12" s="76"/>
      <c r="J12" s="76">
        <v>6</v>
      </c>
      <c r="K12" s="186">
        <f>SUM(G12:J12)</f>
        <v>7</v>
      </c>
      <c r="L12" s="186">
        <f>+((C12+D12+E12+F12)-(G12+H12+I12+J12))*-1</f>
        <v>-3</v>
      </c>
      <c r="M12" s="186"/>
    </row>
    <row r="13" spans="1:13">
      <c r="A13" s="184" t="s">
        <v>30</v>
      </c>
      <c r="B13" s="185">
        <f>SUM(C13:F13)</f>
        <v>10</v>
      </c>
      <c r="C13" s="185">
        <v>1</v>
      </c>
      <c r="D13" s="185">
        <v>2</v>
      </c>
      <c r="E13" s="185">
        <v>3</v>
      </c>
      <c r="F13" s="185">
        <v>4</v>
      </c>
      <c r="G13" s="186"/>
      <c r="H13" s="76">
        <v>1</v>
      </c>
      <c r="I13" s="76">
        <v>3</v>
      </c>
      <c r="J13" s="76">
        <v>4</v>
      </c>
      <c r="K13" s="186">
        <f>SUM(G13:J13)</f>
        <v>8</v>
      </c>
      <c r="L13" s="186">
        <f>+((C13+D13+E13+F13)-(G13+H13+I13+J13))*-1</f>
        <v>-2</v>
      </c>
      <c r="M13" s="186">
        <v>9</v>
      </c>
    </row>
    <row r="14" spans="1:13">
      <c r="A14" s="184" t="s">
        <v>31</v>
      </c>
      <c r="B14" s="185">
        <f>SUM(C14:F14)</f>
        <v>10</v>
      </c>
      <c r="C14" s="185">
        <v>2</v>
      </c>
      <c r="D14" s="185">
        <v>2</v>
      </c>
      <c r="E14" s="185">
        <v>2</v>
      </c>
      <c r="F14" s="185">
        <v>4</v>
      </c>
      <c r="G14" s="186"/>
      <c r="H14" s="76"/>
      <c r="I14" s="76">
        <v>1</v>
      </c>
      <c r="J14" s="76">
        <v>9</v>
      </c>
      <c r="K14" s="186">
        <f>SUM(G14:J14)</f>
        <v>10</v>
      </c>
      <c r="L14" s="186">
        <f>+((C14+D14+E14+F14)-(G14+H14+I14+J14))*-1</f>
        <v>0</v>
      </c>
      <c r="M14" s="186">
        <v>10</v>
      </c>
    </row>
    <row r="15" spans="1:13">
      <c r="A15" s="184" t="s">
        <v>32</v>
      </c>
      <c r="B15" s="185">
        <f>SUM(C15:F15)</f>
        <v>10</v>
      </c>
      <c r="C15" s="185">
        <v>1</v>
      </c>
      <c r="D15" s="185">
        <v>2</v>
      </c>
      <c r="E15" s="185">
        <v>3</v>
      </c>
      <c r="F15" s="185">
        <v>4</v>
      </c>
      <c r="G15" s="186"/>
      <c r="H15" s="76"/>
      <c r="I15" s="76"/>
      <c r="J15" s="76">
        <v>7.5</v>
      </c>
      <c r="K15" s="186">
        <f>SUM(G15:J15)</f>
        <v>7.5</v>
      </c>
      <c r="L15" s="186">
        <f>+((C15+D15+E15+F15)-(G15+H15+I15+J15))*-1</f>
        <v>-2.5</v>
      </c>
      <c r="M15" s="186">
        <v>10</v>
      </c>
    </row>
    <row r="16" spans="1:13">
      <c r="A16" s="184" t="s">
        <v>33</v>
      </c>
      <c r="B16" s="185">
        <f>SUM(C16:F16)</f>
        <v>10</v>
      </c>
      <c r="C16" s="185">
        <v>1</v>
      </c>
      <c r="D16" s="185">
        <v>2</v>
      </c>
      <c r="E16" s="185">
        <v>2</v>
      </c>
      <c r="F16" s="185">
        <v>5</v>
      </c>
      <c r="G16" s="186">
        <v>1</v>
      </c>
      <c r="H16" s="76">
        <v>7</v>
      </c>
      <c r="I16" s="76">
        <v>6</v>
      </c>
      <c r="J16" s="76"/>
      <c r="K16" s="186">
        <f>SUM(G16:J16)</f>
        <v>14</v>
      </c>
      <c r="L16" s="186">
        <f>+((C16+D16+E16+F16)-(G16+H16+I16+J16))*-1</f>
        <v>4</v>
      </c>
      <c r="M16" s="186">
        <v>15</v>
      </c>
    </row>
    <row r="17" spans="1:13">
      <c r="A17" s="184" t="s">
        <v>34</v>
      </c>
      <c r="B17" s="185">
        <f>SUM(C17:F17)</f>
        <v>5</v>
      </c>
      <c r="C17" s="185">
        <v>1</v>
      </c>
      <c r="D17" s="185">
        <v>1</v>
      </c>
      <c r="E17" s="185">
        <v>1</v>
      </c>
      <c r="F17" s="185">
        <v>2</v>
      </c>
      <c r="G17" s="186"/>
      <c r="H17" s="76"/>
      <c r="I17" s="76">
        <v>1</v>
      </c>
      <c r="J17" s="76"/>
      <c r="K17" s="186">
        <f>SUM(G17:J17)</f>
        <v>1</v>
      </c>
      <c r="L17" s="186">
        <f>+((C17+D17+E17+F17)-(G17+H17+I17+J17))*-1</f>
        <v>-4</v>
      </c>
      <c r="M17" s="186">
        <v>4</v>
      </c>
    </row>
    <row r="18" spans="1:13">
      <c r="A18" s="184" t="s">
        <v>35</v>
      </c>
      <c r="B18" s="185">
        <f>SUM(C18:F18)</f>
        <v>15</v>
      </c>
      <c r="C18" s="185">
        <v>2</v>
      </c>
      <c r="D18" s="185">
        <v>2</v>
      </c>
      <c r="E18" s="185">
        <v>5</v>
      </c>
      <c r="F18" s="185">
        <v>6</v>
      </c>
      <c r="G18" s="186"/>
      <c r="H18" s="76"/>
      <c r="I18" s="76"/>
      <c r="J18" s="76"/>
      <c r="K18" s="186">
        <f>SUM(G18:J18)</f>
        <v>0</v>
      </c>
      <c r="L18" s="186">
        <f>+((C18+D18+E18+F18)-(G18+H18+I18+J18))*-1</f>
        <v>-15</v>
      </c>
      <c r="M18" s="186"/>
    </row>
    <row r="19" spans="1:13">
      <c r="A19" s="184" t="s">
        <v>36</v>
      </c>
      <c r="B19" s="185">
        <f>SUM(C19:F19)</f>
        <v>10</v>
      </c>
      <c r="C19" s="185">
        <v>1</v>
      </c>
      <c r="D19" s="185">
        <v>2</v>
      </c>
      <c r="E19" s="185">
        <v>2</v>
      </c>
      <c r="F19" s="185">
        <v>5</v>
      </c>
      <c r="G19" s="186"/>
      <c r="H19" s="76"/>
      <c r="I19" s="76"/>
      <c r="J19" s="76">
        <v>8</v>
      </c>
      <c r="K19" s="186">
        <f>SUM(G19:J19)</f>
        <v>8</v>
      </c>
      <c r="L19" s="186">
        <f>+((C19+D19+E19+F19)-(G19+H19+I19+J19))*-1</f>
        <v>-2</v>
      </c>
      <c r="M19" s="186">
        <v>22</v>
      </c>
    </row>
    <row r="20" spans="1:13">
      <c r="A20" s="184" t="s">
        <v>37</v>
      </c>
      <c r="B20" s="185"/>
      <c r="C20" s="185"/>
      <c r="D20" s="185"/>
      <c r="E20" s="185"/>
      <c r="F20" s="185"/>
      <c r="G20" s="186">
        <v>0.5</v>
      </c>
      <c r="H20" s="76"/>
      <c r="I20" s="76"/>
      <c r="J20" s="76"/>
      <c r="K20" s="186">
        <f>SUM(G20:J20)</f>
        <v>0.5</v>
      </c>
      <c r="L20" s="186">
        <f>+((C20+D20+E20+F20)-(G20+H20+I20+J20))*-1</f>
        <v>0.5</v>
      </c>
      <c r="M20" s="186">
        <v>10</v>
      </c>
    </row>
    <row r="21" spans="1:13">
      <c r="A21" s="184" t="s">
        <v>38</v>
      </c>
      <c r="B21" s="185">
        <f>SUM(C21:F21)</f>
        <v>26</v>
      </c>
      <c r="C21" s="185">
        <v>5</v>
      </c>
      <c r="D21" s="185">
        <v>6</v>
      </c>
      <c r="E21" s="185">
        <v>7</v>
      </c>
      <c r="F21" s="185">
        <v>8</v>
      </c>
      <c r="G21" s="187">
        <v>3</v>
      </c>
      <c r="H21" s="76">
        <v>6.5</v>
      </c>
      <c r="I21" s="76">
        <v>4</v>
      </c>
      <c r="J21" s="76">
        <v>4</v>
      </c>
      <c r="K21" s="186">
        <f>SUM(G21:J21)</f>
        <v>17.5</v>
      </c>
      <c r="L21" s="186">
        <f>+((C21+D21+E21+F21)-(G21+H21+I21+J21))*-1</f>
        <v>-8.5</v>
      </c>
      <c r="M21" s="186">
        <v>1</v>
      </c>
    </row>
    <row r="22" spans="1:13">
      <c r="A22" s="188" t="s">
        <v>39</v>
      </c>
      <c r="B22" s="189">
        <f>SUM(B8:B21)</f>
        <v>160</v>
      </c>
      <c r="C22" s="189">
        <f>SUM(C8:C21)</f>
        <v>28</v>
      </c>
      <c r="D22" s="189">
        <f t="shared" ref="D22:M22" si="4">SUM(D8:D21)</f>
        <v>32</v>
      </c>
      <c r="E22" s="189">
        <f>SUM(E8:E21)</f>
        <v>46</v>
      </c>
      <c r="F22" s="189">
        <f>SUM(F8:F21)</f>
        <v>54</v>
      </c>
      <c r="G22" s="189">
        <f>SUM(G8:G21)</f>
        <v>24.5</v>
      </c>
      <c r="H22" s="189">
        <f>SUM(H8:H21)</f>
        <v>31</v>
      </c>
      <c r="I22" s="189">
        <f>SUM(I8:I21)</f>
        <v>17</v>
      </c>
      <c r="J22" s="189">
        <f>SUM(J8:J21)</f>
        <v>47.5</v>
      </c>
      <c r="K22" s="189">
        <f>SUM(K8:K21)</f>
        <v>120</v>
      </c>
      <c r="L22" s="186">
        <f>+((C22+D22+E22+F22)-(G22+H22+I22+J22))*-1</f>
        <v>-40</v>
      </c>
      <c r="M22" s="189">
        <f>SUM(M8:M21)</f>
        <v>179</v>
      </c>
    </row>
    <row r="23" ht="13.5" customHeight="1" spans="1:15">
      <c r="A23" s="190" t="s">
        <v>40</v>
      </c>
      <c r="B23" s="191"/>
      <c r="C23" s="181" t="s">
        <v>14</v>
      </c>
      <c r="D23" s="181"/>
      <c r="E23" s="181"/>
      <c r="F23" s="182"/>
      <c r="G23" s="170" t="s">
        <v>15</v>
      </c>
      <c r="H23" s="181"/>
      <c r="I23" s="181"/>
      <c r="J23" s="182"/>
      <c r="K23" s="205"/>
      <c r="L23" s="206"/>
      <c r="M23" s="207"/>
      <c r="N23" s="89"/>
      <c r="O23" s="90"/>
    </row>
    <row r="24" ht="27" customHeight="1" spans="1:15">
      <c r="A24" s="183" t="s">
        <v>16</v>
      </c>
      <c r="B24" s="183" t="s">
        <v>17</v>
      </c>
      <c r="C24" s="183" t="s">
        <v>18</v>
      </c>
      <c r="D24" s="183" t="s">
        <v>19</v>
      </c>
      <c r="E24" s="183" t="s">
        <v>20</v>
      </c>
      <c r="F24" s="183" t="s">
        <v>21</v>
      </c>
      <c r="G24" s="183" t="s">
        <v>18</v>
      </c>
      <c r="H24" s="183" t="s">
        <v>19</v>
      </c>
      <c r="I24" s="183" t="s">
        <v>20</v>
      </c>
      <c r="J24" s="183" t="s">
        <v>21</v>
      </c>
      <c r="K24" s="183" t="s">
        <v>22</v>
      </c>
      <c r="L24" s="183" t="s">
        <v>41</v>
      </c>
      <c r="M24" s="208" t="s">
        <v>42</v>
      </c>
      <c r="N24" s="89"/>
      <c r="O24" s="90"/>
    </row>
    <row r="25" spans="1:15">
      <c r="A25" s="184" t="s">
        <v>25</v>
      </c>
      <c r="B25" s="192">
        <f>SUM(C25:G25)</f>
        <v>0</v>
      </c>
      <c r="C25" s="76"/>
      <c r="D25" s="185"/>
      <c r="E25" s="185"/>
      <c r="F25" s="185"/>
      <c r="G25" s="185"/>
      <c r="H25" s="76"/>
      <c r="I25" s="76"/>
      <c r="J25" s="76"/>
      <c r="K25" s="76">
        <f t="shared" ref="K25:K38" si="5">SUM(G25:J25)</f>
        <v>0</v>
      </c>
      <c r="L25" s="76">
        <f>+((C25+D25+E25+F25)-(G25+H25+I25+J25))*-1</f>
        <v>0</v>
      </c>
      <c r="M25" s="209"/>
      <c r="N25" s="89"/>
      <c r="O25" s="90"/>
    </row>
    <row r="26" spans="1:15">
      <c r="A26" s="184" t="s">
        <v>26</v>
      </c>
      <c r="B26" s="192">
        <f>SUM(C26:F26)</f>
        <v>8</v>
      </c>
      <c r="C26" s="193">
        <v>1.25</v>
      </c>
      <c r="D26" s="193">
        <v>2</v>
      </c>
      <c r="E26" s="193">
        <v>2</v>
      </c>
      <c r="F26" s="193">
        <v>2.75</v>
      </c>
      <c r="G26" s="194">
        <f>(35000+16500+33200+23100+30800)/100000</f>
        <v>1.386</v>
      </c>
      <c r="H26" s="195">
        <f>(44000+64200+31700+40100+30420+48400)/100000</f>
        <v>2.5882</v>
      </c>
      <c r="I26" s="76">
        <f>(17100+48800+31800+62400)/100000</f>
        <v>1.601</v>
      </c>
      <c r="J26" s="210">
        <f>(21600+21400+165455+22000+9900+24500+21200+13500+18365)/100000</f>
        <v>3.1792</v>
      </c>
      <c r="K26" s="76">
        <f>SUM(G26:J26)</f>
        <v>8.7544</v>
      </c>
      <c r="L26" s="76">
        <f t="shared" ref="L26:L39" si="6">+((C26+D26+E26+F26)-(G26+H26+I26+J26))*-1</f>
        <v>0.7544</v>
      </c>
      <c r="M26" s="209">
        <f>+K26/B26</f>
        <v>1.0943</v>
      </c>
      <c r="N26" s="92"/>
      <c r="O26" s="93"/>
    </row>
    <row r="27" spans="1:15">
      <c r="A27" s="184" t="s">
        <v>27</v>
      </c>
      <c r="B27" s="192">
        <f t="shared" ref="B27:B39" si="7">SUM(C27:F27)</f>
        <v>5</v>
      </c>
      <c r="C27" s="193">
        <v>0.6</v>
      </c>
      <c r="D27" s="193">
        <v>1.2</v>
      </c>
      <c r="E27" s="193">
        <v>1</v>
      </c>
      <c r="F27" s="193">
        <v>2.2</v>
      </c>
      <c r="G27" s="194">
        <f>(12200+8200+13800+9000+4400+21600)/100000</f>
        <v>0.692</v>
      </c>
      <c r="H27" s="76">
        <f>(80000+62500+20600+33000+16200+22900)/100000</f>
        <v>2.352</v>
      </c>
      <c r="I27" s="76">
        <f>(5400+6400+10000+15400+7825)/100000</f>
        <v>0.45025</v>
      </c>
      <c r="J27" s="210">
        <f>(15200+4100+59800+12100+14500+15700+27800+15600)/100000</f>
        <v>1.648</v>
      </c>
      <c r="K27" s="76">
        <f>SUM(G27:J27)</f>
        <v>5.14225</v>
      </c>
      <c r="L27" s="76">
        <f>+((C27+D27+E27+F27)-(G27+H27+I27+J27))*-1</f>
        <v>0.14225</v>
      </c>
      <c r="M27" s="209">
        <f t="shared" ref="M27:M39" si="8">+K27/B27</f>
        <v>1.02845</v>
      </c>
      <c r="N27" s="92"/>
      <c r="O27" s="93"/>
    </row>
    <row r="28" spans="1:15">
      <c r="A28" s="184" t="s">
        <v>28</v>
      </c>
      <c r="B28" s="192">
        <f>SUM(C28:F28)</f>
        <v>13.35</v>
      </c>
      <c r="C28" s="193">
        <v>2.2</v>
      </c>
      <c r="D28" s="193">
        <v>3.5</v>
      </c>
      <c r="E28" s="193">
        <v>3.2</v>
      </c>
      <c r="F28" s="193">
        <v>4.45</v>
      </c>
      <c r="G28" s="194">
        <f>(22650+35150+47350+39050+31220+55800)/100000</f>
        <v>2.3122</v>
      </c>
      <c r="H28" s="196">
        <f>(37350+38350+48550+92400+60600+56300)/100000</f>
        <v>3.3355</v>
      </c>
      <c r="I28" s="76">
        <f>(53900+21900+30950+32000+63600)/100000</f>
        <v>2.0235</v>
      </c>
      <c r="J28" s="210">
        <f>(102300+63880+93700+23700+39550+45100+148825+37600)/100000</f>
        <v>5.54655</v>
      </c>
      <c r="K28" s="76">
        <f>SUM(G28:J28)</f>
        <v>13.21775</v>
      </c>
      <c r="L28" s="76">
        <f>+((C28+D28+E28+F28)-(G28+H28+I28+J28))*-1</f>
        <v>-0.132250000000001</v>
      </c>
      <c r="M28" s="209">
        <f>+K28/B28</f>
        <v>0.990093632958802</v>
      </c>
      <c r="N28" s="92"/>
      <c r="O28" s="93"/>
    </row>
    <row r="29" spans="1:15">
      <c r="A29" s="184" t="s">
        <v>29</v>
      </c>
      <c r="B29" s="192">
        <f>SUM(C29:F29)</f>
        <v>1.4</v>
      </c>
      <c r="C29" s="76">
        <v>0.2</v>
      </c>
      <c r="D29" s="194">
        <v>0.4</v>
      </c>
      <c r="E29" s="194">
        <v>0.3</v>
      </c>
      <c r="F29" s="194">
        <v>0.5</v>
      </c>
      <c r="G29" s="194">
        <f>(12000+9000)/100000</f>
        <v>0.21</v>
      </c>
      <c r="H29" s="76">
        <f>(12000+10000)/100000</f>
        <v>0.22</v>
      </c>
      <c r="I29" s="76">
        <f>(13000+26600)/100000</f>
        <v>0.396</v>
      </c>
      <c r="J29" s="210">
        <f>(9400+9430+18800+29800)/100000</f>
        <v>0.6743</v>
      </c>
      <c r="K29" s="76">
        <f>SUM(G29:J29)</f>
        <v>1.5003</v>
      </c>
      <c r="L29" s="76">
        <f>+((C29+D29+E29+F29)-(G29+H29+I29+J29))*-1</f>
        <v>0.1003</v>
      </c>
      <c r="M29" s="209">
        <f>+K29/B29</f>
        <v>1.07164285714286</v>
      </c>
      <c r="N29" s="92"/>
      <c r="O29" s="93"/>
    </row>
    <row r="30" spans="1:15">
      <c r="A30" s="184" t="s">
        <v>30</v>
      </c>
      <c r="B30" s="192">
        <f>SUM(C30:F30)</f>
        <v>5</v>
      </c>
      <c r="C30" s="76">
        <v>0.85</v>
      </c>
      <c r="D30" s="194">
        <v>1.15</v>
      </c>
      <c r="E30" s="194">
        <v>1</v>
      </c>
      <c r="F30" s="194">
        <v>2</v>
      </c>
      <c r="G30" s="194">
        <f>(10000)/100000</f>
        <v>0.1</v>
      </c>
      <c r="H30" s="76">
        <f>(36250+44000+32000)/100000</f>
        <v>1.1225</v>
      </c>
      <c r="I30" s="76">
        <f>(110000+12000)/100000</f>
        <v>1.22</v>
      </c>
      <c r="J30" s="210">
        <f>(13200+99200+19800+4400+16400+26400)/100000</f>
        <v>1.794</v>
      </c>
      <c r="K30" s="76">
        <f>SUM(G30:J30)</f>
        <v>4.2365</v>
      </c>
      <c r="L30" s="76">
        <f>+((C30+D30+E30+F30)-(G30+H30+I30+J30))*-1</f>
        <v>-0.763500000000001</v>
      </c>
      <c r="M30" s="209">
        <f>+K30/B30</f>
        <v>0.8473</v>
      </c>
      <c r="N30" s="94"/>
      <c r="O30" s="95"/>
    </row>
    <row r="31" spans="1:15">
      <c r="A31" s="184" t="s">
        <v>31</v>
      </c>
      <c r="B31" s="192">
        <f>SUM(C31:F31)</f>
        <v>5.5</v>
      </c>
      <c r="C31" s="76">
        <v>1.25</v>
      </c>
      <c r="D31" s="194">
        <v>1.5</v>
      </c>
      <c r="E31" s="194">
        <v>1.25</v>
      </c>
      <c r="F31" s="194">
        <v>1.5</v>
      </c>
      <c r="G31" s="194">
        <f>(19000+20300+25000+22700+18200+24500)/100000</f>
        <v>1.297</v>
      </c>
      <c r="H31" s="76">
        <f>(31500+19600+22400+25300+16600)/100000</f>
        <v>1.154</v>
      </c>
      <c r="I31" s="76">
        <f>(19450+23100+17700+19800+31100)/100000</f>
        <v>1.1115</v>
      </c>
      <c r="J31" s="210">
        <f>(33300+18100+38400+16800+24500+19100+21150+22900)/100000</f>
        <v>1.9425</v>
      </c>
      <c r="K31" s="76">
        <f>SUM(G31:J31)</f>
        <v>5.505</v>
      </c>
      <c r="L31" s="76">
        <f>+((C31+D31+E31+F31)-(G31+H31+I31+J31))*-1</f>
        <v>0.00499999999999901</v>
      </c>
      <c r="M31" s="209">
        <f>+K31/B31</f>
        <v>1.00090909090909</v>
      </c>
      <c r="N31" s="92"/>
      <c r="O31" s="93"/>
    </row>
    <row r="32" spans="1:15">
      <c r="A32" s="184" t="s">
        <v>32</v>
      </c>
      <c r="B32" s="192">
        <f>SUM(C32:F32)</f>
        <v>6</v>
      </c>
      <c r="C32" s="76">
        <v>1.3</v>
      </c>
      <c r="D32" s="194">
        <v>1.3</v>
      </c>
      <c r="E32" s="194">
        <v>1.25</v>
      </c>
      <c r="F32" s="194">
        <v>2.15</v>
      </c>
      <c r="G32" s="194">
        <f>(13100+13200+43893+22400+24960+22250)/100000</f>
        <v>1.39803</v>
      </c>
      <c r="H32" s="76">
        <f>(18100+27800+22000+10300+36300+21800)/100000</f>
        <v>1.363</v>
      </c>
      <c r="I32" s="76">
        <f>(12262+16600+27260+41200+28100)/100000</f>
        <v>1.25422</v>
      </c>
      <c r="J32" s="210">
        <f>(27150+15600+50150+22350+21665+23100+41750+27050)/100000</f>
        <v>2.28815</v>
      </c>
      <c r="K32" s="76">
        <f>SUM(G32:J32)</f>
        <v>6.3034</v>
      </c>
      <c r="L32" s="76">
        <f>+((C32+D32+E32+F32)-(G32+H32+I32+J32))*-1</f>
        <v>0.3034</v>
      </c>
      <c r="M32" s="209">
        <f>+K32/B32</f>
        <v>1.05056666666667</v>
      </c>
      <c r="N32" s="92"/>
      <c r="O32" s="93"/>
    </row>
    <row r="33" spans="1:15">
      <c r="A33" s="125" t="s">
        <v>51</v>
      </c>
      <c r="B33" s="192">
        <f>SUM(C33:F33)</f>
        <v>5.5</v>
      </c>
      <c r="C33" s="76">
        <v>0.95</v>
      </c>
      <c r="D33" s="194">
        <v>1.5</v>
      </c>
      <c r="E33" s="194">
        <v>1.2</v>
      </c>
      <c r="F33" s="194">
        <v>1.85</v>
      </c>
      <c r="G33" s="194">
        <f>(11600+16300+21620+16800+13100+11900)/100000</f>
        <v>0.9132</v>
      </c>
      <c r="H33" s="76">
        <f>(19000+15000+10700+21100+12250+39400)/100000</f>
        <v>1.1745</v>
      </c>
      <c r="I33" s="76">
        <f>(19700+13400+12100+11650+47510)/100000</f>
        <v>1.0436</v>
      </c>
      <c r="J33" s="210">
        <f>(7300+51600+24350+36500+20960+32270+22700+27300)/100000</f>
        <v>2.2298</v>
      </c>
      <c r="K33" s="76">
        <f>SUM(G33:J33)</f>
        <v>5.3611</v>
      </c>
      <c r="L33" s="76">
        <f>+((C33+D33+E33+F33)-(G33+H33+I33+J33))*-1</f>
        <v>-0.1389</v>
      </c>
      <c r="M33" s="209">
        <f>+K33/B33</f>
        <v>0.974745454545455</v>
      </c>
      <c r="N33" s="92"/>
      <c r="O33" s="93"/>
    </row>
    <row r="34" spans="1:15">
      <c r="A34" s="184" t="s">
        <v>37</v>
      </c>
      <c r="B34" s="192">
        <f>SUM(C34:F34)</f>
        <v>2.5</v>
      </c>
      <c r="C34" s="76">
        <v>0.5</v>
      </c>
      <c r="D34" s="194">
        <v>0.5</v>
      </c>
      <c r="E34" s="194">
        <v>0.5</v>
      </c>
      <c r="F34" s="194">
        <v>1</v>
      </c>
      <c r="G34" s="194">
        <f>(26400+13200)/100000</f>
        <v>0.396</v>
      </c>
      <c r="H34" s="76">
        <f>(22000+9440+21800)/100000</f>
        <v>0.5324</v>
      </c>
      <c r="I34" s="76">
        <f>(17600)/100000</f>
        <v>0.176</v>
      </c>
      <c r="J34" s="210">
        <f>(30800+9430+4520)/100000</f>
        <v>0.4475</v>
      </c>
      <c r="K34" s="76">
        <f>SUM(G34:J34)</f>
        <v>1.5519</v>
      </c>
      <c r="L34" s="76">
        <f>+((C34+D34+E34+F34)-(G34+H34+I34+J34))*-1</f>
        <v>-0.9481</v>
      </c>
      <c r="M34" s="209">
        <f>+K34/B34</f>
        <v>0.62076</v>
      </c>
      <c r="N34" s="92"/>
      <c r="O34" s="93"/>
    </row>
    <row r="35" spans="1:15">
      <c r="A35" s="184" t="s">
        <v>35</v>
      </c>
      <c r="B35" s="192">
        <f>SUM(C35:F35)</f>
        <v>2.5</v>
      </c>
      <c r="C35" s="76">
        <v>0.5</v>
      </c>
      <c r="D35" s="194">
        <v>0.5</v>
      </c>
      <c r="E35" s="194">
        <v>0.5</v>
      </c>
      <c r="F35" s="194">
        <v>1</v>
      </c>
      <c r="G35" s="194"/>
      <c r="H35" s="76">
        <f>(107840)/100000</f>
        <v>1.0784</v>
      </c>
      <c r="I35" s="76"/>
      <c r="J35" s="210">
        <f>(145900)/100000</f>
        <v>1.459</v>
      </c>
      <c r="K35" s="76">
        <f>SUM(G35:J35)</f>
        <v>2.5374</v>
      </c>
      <c r="L35" s="76">
        <f>+((C35+D35+E35+F35)-(G35+H35+I35+J35))*-1</f>
        <v>0.0373999999999999</v>
      </c>
      <c r="M35" s="209">
        <f>+K35/B35</f>
        <v>1.01496</v>
      </c>
      <c r="N35" s="92"/>
      <c r="O35" s="93"/>
    </row>
    <row r="36" spans="1:15">
      <c r="A36" s="184" t="s">
        <v>33</v>
      </c>
      <c r="B36" s="192">
        <f>SUM(C36:F36)</f>
        <v>0</v>
      </c>
      <c r="C36" s="76"/>
      <c r="D36" s="197"/>
      <c r="E36" s="197"/>
      <c r="F36" s="197"/>
      <c r="G36" s="197"/>
      <c r="H36" s="76"/>
      <c r="I36" s="76"/>
      <c r="J36" s="210"/>
      <c r="K36" s="76">
        <f>SUM(G36:J36)</f>
        <v>0</v>
      </c>
      <c r="L36" s="76">
        <f>+((C36+D36+E36+F36)-(G36+H36+I36+J36))*-1</f>
        <v>0</v>
      </c>
      <c r="M36" s="209" t="e">
        <f>+K36/B36</f>
        <v>#DIV/0!</v>
      </c>
      <c r="N36" s="92"/>
      <c r="O36" s="93"/>
    </row>
    <row r="37" spans="1:15">
      <c r="A37" s="184" t="s">
        <v>34</v>
      </c>
      <c r="B37" s="192">
        <f>SUM(C37:F37)</f>
        <v>2.5</v>
      </c>
      <c r="C37" s="76">
        <v>0.4</v>
      </c>
      <c r="D37" s="197">
        <v>0.7</v>
      </c>
      <c r="E37" s="197">
        <v>0.5</v>
      </c>
      <c r="F37" s="197">
        <v>0.9</v>
      </c>
      <c r="G37" s="197">
        <f>(12400+13000+13440+9700+8400)/100000</f>
        <v>0.5694</v>
      </c>
      <c r="H37" s="76">
        <f>(34800+25200+16900+19800+7100+11500)/100000</f>
        <v>1.153</v>
      </c>
      <c r="I37" s="76">
        <f>(29000+10200+26600+11900+9700)/100000</f>
        <v>0.874</v>
      </c>
      <c r="J37" s="210">
        <f>(13500+24200+39500+10800+8700+14600+33000+8200)/100000</f>
        <v>1.525</v>
      </c>
      <c r="K37" s="76">
        <f>SUM(G37:J37)</f>
        <v>4.1214</v>
      </c>
      <c r="L37" s="76">
        <f>+((C37+D37+E37+F37)-(G37+H37+I37+J37))*-1</f>
        <v>1.6214</v>
      </c>
      <c r="M37" s="209">
        <f>+K37/B37</f>
        <v>1.64856</v>
      </c>
      <c r="N37" s="92"/>
      <c r="O37" s="93"/>
    </row>
    <row r="38" spans="1:15">
      <c r="A38" s="184" t="s">
        <v>38</v>
      </c>
      <c r="B38" s="192">
        <f>SUM(C38:F38)</f>
        <v>10</v>
      </c>
      <c r="C38" s="76">
        <v>1.5</v>
      </c>
      <c r="D38" s="194">
        <v>2.05</v>
      </c>
      <c r="E38" s="194">
        <v>3</v>
      </c>
      <c r="F38" s="194">
        <v>3.45</v>
      </c>
      <c r="G38" s="194">
        <f>(53460+33100+115020+3650+27700)/100000</f>
        <v>2.3293</v>
      </c>
      <c r="H38" s="76">
        <f>(80600+61300+17287+11010+23700+20025+19700)/100000</f>
        <v>2.33622</v>
      </c>
      <c r="I38" s="76">
        <f>(24400+72545+3000+24860+161800+47840)/100000</f>
        <v>3.34445</v>
      </c>
      <c r="J38" s="210">
        <f>(81220+46000+56664+23120+8800+17600+500+75500+83660)/100000</f>
        <v>3.93064</v>
      </c>
      <c r="K38" s="76">
        <f>SUM(G38:J38)</f>
        <v>11.94061</v>
      </c>
      <c r="L38" s="76">
        <f>+((C38+D38+E38+F38)-(G38+H38+I38+J38))*-1</f>
        <v>1.94061</v>
      </c>
      <c r="M38" s="209">
        <f>+K38/B38</f>
        <v>1.194061</v>
      </c>
      <c r="N38" s="92"/>
      <c r="O38" s="93"/>
    </row>
    <row r="39" ht="14.25" customHeight="1" spans="1:15">
      <c r="A39" s="188" t="s">
        <v>44</v>
      </c>
      <c r="B39" s="192">
        <f>SUM(C39:F39)</f>
        <v>67.25</v>
      </c>
      <c r="C39" s="76">
        <f>SUM(C26:C38)</f>
        <v>11.5</v>
      </c>
      <c r="D39" s="198">
        <f t="shared" ref="D39:G39" si="9">SUM(D26:D38)</f>
        <v>16.3</v>
      </c>
      <c r="E39" s="198">
        <f>SUM(E26:E38)</f>
        <v>15.7</v>
      </c>
      <c r="F39" s="198">
        <f>SUM(F26:F38)</f>
        <v>23.75</v>
      </c>
      <c r="G39" s="199">
        <f>SUM(G26:G38)</f>
        <v>11.60313</v>
      </c>
      <c r="H39" s="76">
        <f>SUM(H25:H38)</f>
        <v>18.40972</v>
      </c>
      <c r="I39" s="76">
        <f t="shared" ref="I39:J39" si="10">SUM(I25:I38)</f>
        <v>13.49452</v>
      </c>
      <c r="J39" s="210">
        <f>SUM(J25:J38)</f>
        <v>26.66464</v>
      </c>
      <c r="K39" s="211">
        <f>SUM(K26:K38)</f>
        <v>70.17201</v>
      </c>
      <c r="L39" s="76">
        <f>+((C39+D39+E39+F39)-(G39+H39+I39+J39))*-1</f>
        <v>2.92201</v>
      </c>
      <c r="M39" s="212">
        <f>+K39/B39</f>
        <v>1.04344996282528</v>
      </c>
      <c r="N39" s="92"/>
      <c r="O39" s="93"/>
    </row>
    <row r="40" ht="18" customHeight="1" spans="1:15">
      <c r="A40" s="55"/>
      <c r="B40" s="56"/>
      <c r="C40" s="57"/>
      <c r="D40" s="57"/>
      <c r="N40" s="94"/>
      <c r="O40" s="95"/>
    </row>
    <row r="41" spans="14:15">
      <c r="N41" s="92"/>
      <c r="O41" s="93"/>
    </row>
    <row r="42" spans="14:15">
      <c r="N42" s="92"/>
      <c r="O42" s="93"/>
    </row>
    <row r="43" spans="14:15">
      <c r="N43" s="92"/>
      <c r="O43" s="93"/>
    </row>
    <row r="44" spans="14:15">
      <c r="N44" s="92"/>
      <c r="O44" s="93"/>
    </row>
    <row r="45" spans="14:15">
      <c r="N45" s="92"/>
      <c r="O45" s="93"/>
    </row>
    <row r="46" spans="14:15">
      <c r="N46" s="92"/>
      <c r="O46" s="93"/>
    </row>
    <row r="47" spans="14:15">
      <c r="N47" s="92"/>
      <c r="O47" s="93"/>
    </row>
    <row r="48" spans="14:15">
      <c r="N48" s="92"/>
      <c r="O48" s="93"/>
    </row>
    <row r="49" spans="14:15">
      <c r="N49" s="92"/>
      <c r="O49" s="93"/>
    </row>
    <row r="50" spans="14:15">
      <c r="N50" s="94"/>
      <c r="O50" s="95"/>
    </row>
    <row r="51" spans="14:15">
      <c r="N51" s="92"/>
      <c r="O51" s="93"/>
    </row>
    <row r="52" spans="14:15">
      <c r="N52" s="92"/>
      <c r="O52" s="93"/>
    </row>
    <row r="53" spans="14:15">
      <c r="N53" s="92"/>
      <c r="O53" s="93"/>
    </row>
    <row r="54" spans="14:15">
      <c r="N54" s="92"/>
      <c r="O54" s="93"/>
    </row>
    <row r="55" spans="14:15">
      <c r="N55" s="92"/>
      <c r="O55" s="93"/>
    </row>
    <row r="56" spans="14:15">
      <c r="N56" s="92"/>
      <c r="O56" s="93"/>
    </row>
    <row r="57" spans="14:15">
      <c r="N57" s="92"/>
      <c r="O57" s="93"/>
    </row>
    <row r="58" spans="14:15">
      <c r="N58" s="94"/>
      <c r="O58" s="95"/>
    </row>
    <row r="59" spans="14:15">
      <c r="N59" s="92"/>
      <c r="O59" s="93"/>
    </row>
    <row r="60" spans="14:15">
      <c r="N60" s="92"/>
      <c r="O60" s="93"/>
    </row>
    <row r="61" spans="14:15">
      <c r="N61" s="92"/>
      <c r="O61" s="93"/>
    </row>
    <row r="62" spans="14:15">
      <c r="N62" s="92"/>
      <c r="O62" s="93"/>
    </row>
    <row r="63" spans="14:15">
      <c r="N63" s="92"/>
      <c r="O63" s="93"/>
    </row>
    <row r="64" spans="14:15">
      <c r="N64" s="92"/>
      <c r="O64" s="93"/>
    </row>
    <row r="65" spans="14:15">
      <c r="N65" s="92"/>
      <c r="O65" s="93"/>
    </row>
    <row r="66" spans="14:15">
      <c r="N66" s="92"/>
      <c r="O66" s="96"/>
    </row>
  </sheetData>
  <mergeCells count="6">
    <mergeCell ref="B1:M1"/>
    <mergeCell ref="D5:F5"/>
    <mergeCell ref="C6:F6"/>
    <mergeCell ref="G6:J6"/>
    <mergeCell ref="C23:F23"/>
    <mergeCell ref="G23:J23"/>
  </mergeCells>
  <pageMargins left="0.699305555555556" right="0.699305555555556" top="0.75" bottom="0.75" header="0.3" footer="0.3"/>
  <pageSetup paperSize="9" scale="80" orientation="landscape" verticalDpi="180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73"/>
  <sheetViews>
    <sheetView topLeftCell="A30" workbookViewId="0">
      <selection activeCell="A1" sqref="A1:M46"/>
    </sheetView>
  </sheetViews>
  <sheetFormatPr defaultColWidth="9" defaultRowHeight="15"/>
  <cols>
    <col min="1" max="1" width="17.4285714285714" style="1" customWidth="1"/>
    <col min="2" max="2" width="9" style="2" customWidth="1"/>
    <col min="3" max="3" width="8.42857142857143" style="1" customWidth="1"/>
    <col min="4" max="4" width="8.57142857142857" style="1" customWidth="1"/>
    <col min="5" max="5" width="8.28571428571429" style="1" customWidth="1"/>
    <col min="6" max="6" width="8.71428571428571" style="1" customWidth="1"/>
    <col min="7" max="7" width="8.28571428571429" style="1" customWidth="1"/>
    <col min="8" max="8" width="8.85714285714286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ht="18" customHeight="1" spans="1:15">
      <c r="A1" s="125" t="s">
        <v>201</v>
      </c>
      <c r="B1" s="119" t="s">
        <v>202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  <c r="O1" s="1" t="s">
        <v>203</v>
      </c>
    </row>
    <row r="2" spans="1:13">
      <c r="A2" s="6" t="s">
        <v>2</v>
      </c>
      <c r="B2" s="7">
        <f>+K31</f>
        <v>272.5</v>
      </c>
      <c r="C2" s="8"/>
      <c r="D2" s="8"/>
      <c r="E2" s="8"/>
      <c r="F2" s="8"/>
      <c r="G2" s="9"/>
      <c r="H2" s="126" t="s">
        <v>160</v>
      </c>
      <c r="I2" s="132" t="s">
        <v>145</v>
      </c>
      <c r="J2" s="126" t="s">
        <v>146</v>
      </c>
      <c r="K2" s="126" t="s">
        <v>147</v>
      </c>
      <c r="L2" s="126" t="s">
        <v>161</v>
      </c>
      <c r="M2" s="104"/>
    </row>
    <row r="3" ht="12" customHeight="1" spans="1:13">
      <c r="A3" s="6" t="s">
        <v>3</v>
      </c>
      <c r="B3" s="7">
        <f>+M31</f>
        <v>389</v>
      </c>
      <c r="C3" s="8"/>
      <c r="D3" s="8"/>
      <c r="E3" s="8"/>
      <c r="F3" s="8"/>
      <c r="G3" s="9"/>
      <c r="H3" s="126">
        <v>1</v>
      </c>
      <c r="I3" s="126"/>
      <c r="J3" s="126"/>
      <c r="K3" s="126"/>
      <c r="L3" s="127"/>
      <c r="M3" s="105"/>
    </row>
    <row r="4" ht="12" customHeight="1" spans="1:13">
      <c r="A4" s="6"/>
      <c r="B4" s="7"/>
      <c r="C4" s="8"/>
      <c r="D4" s="8"/>
      <c r="E4" s="8"/>
      <c r="F4" s="8"/>
      <c r="G4" s="9"/>
      <c r="H4" s="126">
        <v>2</v>
      </c>
      <c r="I4" s="126"/>
      <c r="J4" s="126"/>
      <c r="K4" s="126"/>
      <c r="L4" s="127"/>
      <c r="M4" s="105"/>
    </row>
    <row r="5" ht="12" customHeight="1" spans="1:13">
      <c r="A5" s="6"/>
      <c r="B5" s="7"/>
      <c r="C5" s="8"/>
      <c r="D5" s="8"/>
      <c r="E5" s="8"/>
      <c r="F5" s="8"/>
      <c r="G5" s="9"/>
      <c r="H5" s="126">
        <v>3</v>
      </c>
      <c r="I5" s="126"/>
      <c r="J5" s="126"/>
      <c r="K5" s="126"/>
      <c r="L5" s="127"/>
      <c r="M5" s="105"/>
    </row>
    <row r="6" ht="12" customHeight="1" spans="1:13">
      <c r="A6" s="6"/>
      <c r="B6" s="7"/>
      <c r="C6" s="8"/>
      <c r="D6" s="8"/>
      <c r="E6" s="8"/>
      <c r="F6" s="8"/>
      <c r="G6" s="9"/>
      <c r="H6" s="127" t="s">
        <v>162</v>
      </c>
      <c r="I6" s="127">
        <f t="shared" ref="I6:L6" si="0">SUM(I3:I5)</f>
        <v>0</v>
      </c>
      <c r="J6" s="127">
        <f>SUM(J3:J5)</f>
        <v>0</v>
      </c>
      <c r="K6" s="127">
        <f>SUM(K3:K5)</f>
        <v>0</v>
      </c>
      <c r="L6" s="133">
        <f>SUM(L3:L5)</f>
        <v>0</v>
      </c>
      <c r="M6" s="105"/>
    </row>
    <row r="7" spans="1:13">
      <c r="A7" s="6" t="s">
        <v>204</v>
      </c>
      <c r="B7" s="11"/>
      <c r="C7" s="12"/>
      <c r="D7" s="13" t="s">
        <v>5</v>
      </c>
      <c r="E7" s="12">
        <v>10</v>
      </c>
      <c r="F7" s="12"/>
      <c r="G7" s="14" t="s">
        <v>78</v>
      </c>
      <c r="H7" s="15"/>
      <c r="I7" s="62" t="s">
        <v>7</v>
      </c>
      <c r="J7" s="13">
        <f>+K46</f>
        <v>128.4214</v>
      </c>
      <c r="K7" s="12" t="s">
        <v>8</v>
      </c>
      <c r="L7" s="12" t="s">
        <v>85</v>
      </c>
      <c r="M7" s="106">
        <v>4.5</v>
      </c>
    </row>
    <row r="8" spans="1:13">
      <c r="A8" s="16" t="s">
        <v>10</v>
      </c>
      <c r="B8" s="17" t="s">
        <v>205</v>
      </c>
      <c r="C8" s="18" t="s">
        <v>63</v>
      </c>
      <c r="D8" s="19">
        <v>12725500</v>
      </c>
      <c r="E8" s="19"/>
      <c r="F8" s="19"/>
      <c r="G8" s="20"/>
      <c r="H8" s="21"/>
      <c r="I8" s="62"/>
      <c r="J8" s="62"/>
      <c r="K8" s="62"/>
      <c r="L8" s="62"/>
      <c r="M8" s="105"/>
    </row>
    <row r="9" spans="1:13">
      <c r="A9" s="22" t="s">
        <v>13</v>
      </c>
      <c r="B9" s="23"/>
      <c r="C9" s="23" t="s">
        <v>14</v>
      </c>
      <c r="D9" s="23"/>
      <c r="E9" s="23"/>
      <c r="F9" s="24"/>
      <c r="G9" s="11" t="s">
        <v>15</v>
      </c>
      <c r="H9" s="23"/>
      <c r="I9" s="23"/>
      <c r="J9" s="24"/>
      <c r="K9" s="63"/>
      <c r="L9" s="64"/>
      <c r="M9" s="107"/>
    </row>
    <row r="10" ht="25.5" spans="1:13">
      <c r="A10" s="25" t="s">
        <v>16</v>
      </c>
      <c r="B10" s="25" t="s">
        <v>17</v>
      </c>
      <c r="C10" s="25" t="s">
        <v>152</v>
      </c>
      <c r="D10" s="25" t="s">
        <v>153</v>
      </c>
      <c r="E10" s="25" t="s">
        <v>180</v>
      </c>
      <c r="F10" s="25" t="s">
        <v>206</v>
      </c>
      <c r="G10" s="25" t="s">
        <v>152</v>
      </c>
      <c r="H10" s="25" t="s">
        <v>154</v>
      </c>
      <c r="I10" s="25" t="s">
        <v>182</v>
      </c>
      <c r="J10" s="25" t="s">
        <v>75</v>
      </c>
      <c r="K10" s="25" t="s">
        <v>22</v>
      </c>
      <c r="L10" s="25" t="s">
        <v>23</v>
      </c>
      <c r="M10" s="25" t="s">
        <v>24</v>
      </c>
    </row>
    <row r="11" spans="1:13">
      <c r="A11" s="25" t="s">
        <v>191</v>
      </c>
      <c r="B11" s="33">
        <f>SUM(C11:F11)</f>
        <v>15</v>
      </c>
      <c r="C11" s="33"/>
      <c r="D11" s="33">
        <v>5</v>
      </c>
      <c r="E11" s="33">
        <v>5</v>
      </c>
      <c r="F11" s="33">
        <v>5</v>
      </c>
      <c r="G11" s="33">
        <v>1</v>
      </c>
      <c r="H11" s="33"/>
      <c r="I11" s="33"/>
      <c r="J11" s="33">
        <v>4</v>
      </c>
      <c r="K11" s="33">
        <f>SUM(G11:J11)</f>
        <v>5</v>
      </c>
      <c r="L11" s="48">
        <f>+((C11+D11+E11+F11)-(G11+H11+I11+J11))*-1</f>
        <v>-10</v>
      </c>
      <c r="M11" s="33"/>
    </row>
    <row r="12" spans="1:13">
      <c r="A12" s="29" t="s">
        <v>192</v>
      </c>
      <c r="B12" s="33">
        <f t="shared" ref="B12:B31" si="1">SUM(C12:F12)</f>
        <v>15</v>
      </c>
      <c r="C12" s="34">
        <v>5</v>
      </c>
      <c r="D12" s="34">
        <v>5</v>
      </c>
      <c r="E12" s="34">
        <v>0</v>
      </c>
      <c r="F12" s="34">
        <v>5</v>
      </c>
      <c r="G12" s="48">
        <v>25</v>
      </c>
      <c r="H12" s="48"/>
      <c r="I12" s="48">
        <v>3</v>
      </c>
      <c r="J12" s="48"/>
      <c r="K12" s="48">
        <f t="shared" ref="K12:K31" si="2">SUM(G12:J12)</f>
        <v>28</v>
      </c>
      <c r="L12" s="48">
        <f t="shared" ref="L12:L31" si="3">+((C12+D12+E12+F12)-(G12+H12+I12+J12))*-1</f>
        <v>13</v>
      </c>
      <c r="M12" s="48">
        <v>44</v>
      </c>
    </row>
    <row r="13" spans="1:13">
      <c r="A13" s="29" t="s">
        <v>26</v>
      </c>
      <c r="B13" s="33">
        <f>SUM(C13:F13)</f>
        <v>20</v>
      </c>
      <c r="C13" s="34">
        <v>7</v>
      </c>
      <c r="D13" s="34">
        <v>7</v>
      </c>
      <c r="E13" s="34">
        <v>3</v>
      </c>
      <c r="F13" s="34">
        <v>3</v>
      </c>
      <c r="G13" s="48">
        <v>7</v>
      </c>
      <c r="H13" s="48">
        <v>3</v>
      </c>
      <c r="I13" s="48">
        <v>8</v>
      </c>
      <c r="J13" s="48">
        <v>6</v>
      </c>
      <c r="K13" s="48">
        <f>SUM(G13:J13)</f>
        <v>24</v>
      </c>
      <c r="L13" s="48">
        <f>+((C13+D13+E13+F13)-(G13+H13+I13+J13))*-1</f>
        <v>4</v>
      </c>
      <c r="M13" s="48">
        <v>34</v>
      </c>
    </row>
    <row r="14" spans="1:17">
      <c r="A14" s="29" t="s">
        <v>27</v>
      </c>
      <c r="B14" s="33">
        <f>SUM(C14:F14)</f>
        <v>20</v>
      </c>
      <c r="C14" s="34">
        <v>5</v>
      </c>
      <c r="D14" s="34">
        <v>5</v>
      </c>
      <c r="E14" s="34">
        <v>5</v>
      </c>
      <c r="F14" s="34">
        <v>5</v>
      </c>
      <c r="G14" s="48">
        <v>4</v>
      </c>
      <c r="H14" s="48">
        <v>10</v>
      </c>
      <c r="I14" s="48"/>
      <c r="J14" s="48">
        <v>20</v>
      </c>
      <c r="K14" s="48">
        <f>SUM(G14:J14)</f>
        <v>34</v>
      </c>
      <c r="L14" s="48">
        <f>+((C14+D14+E14+F14)-(G14+H14+I14+J14))*-1</f>
        <v>14</v>
      </c>
      <c r="M14" s="48">
        <v>35</v>
      </c>
      <c r="Q14"/>
    </row>
    <row r="15" spans="1:13">
      <c r="A15" s="29" t="s">
        <v>28</v>
      </c>
      <c r="B15" s="33">
        <f>SUM(C15:F15)</f>
        <v>20</v>
      </c>
      <c r="C15" s="34">
        <v>5</v>
      </c>
      <c r="D15" s="34">
        <v>5</v>
      </c>
      <c r="E15" s="34">
        <v>5</v>
      </c>
      <c r="F15" s="34">
        <v>5</v>
      </c>
      <c r="G15" s="48">
        <v>0.5</v>
      </c>
      <c r="H15" s="48"/>
      <c r="I15" s="48"/>
      <c r="J15" s="48"/>
      <c r="K15" s="48">
        <f>SUM(G15:J15)</f>
        <v>0.5</v>
      </c>
      <c r="L15" s="48">
        <f>+((C15+D15+E15+F15)-(G15+H15+I15+J15))*-1</f>
        <v>-19.5</v>
      </c>
      <c r="M15" s="48">
        <v>24</v>
      </c>
    </row>
    <row r="16" spans="1:13">
      <c r="A16" s="29" t="s">
        <v>29</v>
      </c>
      <c r="B16" s="33">
        <f>SUM(C16:F16)</f>
        <v>0</v>
      </c>
      <c r="C16" s="34">
        <v>0</v>
      </c>
      <c r="D16" s="34">
        <v>0</v>
      </c>
      <c r="E16" s="34">
        <v>0</v>
      </c>
      <c r="F16" s="34">
        <v>0</v>
      </c>
      <c r="G16" s="48">
        <v>0</v>
      </c>
      <c r="H16" s="48"/>
      <c r="I16" s="48"/>
      <c r="J16" s="48"/>
      <c r="K16" s="48">
        <f>SUM(G16:J16)</f>
        <v>0</v>
      </c>
      <c r="L16" s="48">
        <f>+((C16+D16+E16+F16)-(G16+H16+I16+J16))*-1</f>
        <v>0</v>
      </c>
      <c r="M16" s="48"/>
    </row>
    <row r="17" spans="1:13">
      <c r="A17" s="29" t="s">
        <v>87</v>
      </c>
      <c r="B17" s="33">
        <f>SUM(C17:F17)</f>
        <v>15</v>
      </c>
      <c r="C17" s="34">
        <v>2</v>
      </c>
      <c r="D17" s="34">
        <v>3</v>
      </c>
      <c r="E17" s="34">
        <v>5</v>
      </c>
      <c r="F17" s="34">
        <v>5</v>
      </c>
      <c r="G17" s="48">
        <v>0.5</v>
      </c>
      <c r="H17" s="48">
        <v>6</v>
      </c>
      <c r="I17" s="48">
        <v>3</v>
      </c>
      <c r="J17" s="48">
        <v>3.5</v>
      </c>
      <c r="K17" s="48">
        <f>SUM(G17:J17)</f>
        <v>13</v>
      </c>
      <c r="L17" s="48">
        <f>+((C17+D17+E17+F17)-(G17+H17+I17+J17))*-1</f>
        <v>-2</v>
      </c>
      <c r="M17" s="48">
        <v>8</v>
      </c>
    </row>
    <row r="18" spans="1:13">
      <c r="A18" s="29" t="s">
        <v>193</v>
      </c>
      <c r="B18" s="33">
        <f>SUM(C18:F18)</f>
        <v>15</v>
      </c>
      <c r="C18" s="34">
        <v>2</v>
      </c>
      <c r="D18" s="34">
        <v>4</v>
      </c>
      <c r="E18" s="34">
        <v>4</v>
      </c>
      <c r="F18" s="34">
        <v>5</v>
      </c>
      <c r="G18" s="48">
        <v>4</v>
      </c>
      <c r="H18" s="48">
        <v>6</v>
      </c>
      <c r="I18" s="48"/>
      <c r="J18" s="48">
        <v>6</v>
      </c>
      <c r="K18" s="48">
        <f>SUM(G18:J18)</f>
        <v>16</v>
      </c>
      <c r="L18" s="48">
        <f>+((C18+D18+E18+F18)-(G18+H18+I18+J18))*-1</f>
        <v>1</v>
      </c>
      <c r="M18" s="48"/>
    </row>
    <row r="19" spans="1:13">
      <c r="A19" s="29" t="s">
        <v>173</v>
      </c>
      <c r="B19" s="33">
        <f>SUM(C19:F19)</f>
        <v>10</v>
      </c>
      <c r="C19" s="34">
        <v>2</v>
      </c>
      <c r="D19" s="34">
        <v>2</v>
      </c>
      <c r="E19" s="34">
        <v>3</v>
      </c>
      <c r="F19" s="34">
        <v>3</v>
      </c>
      <c r="G19" s="48">
        <v>0</v>
      </c>
      <c r="H19" s="48"/>
      <c r="I19" s="48"/>
      <c r="J19" s="48"/>
      <c r="K19" s="48">
        <f>SUM(G19:J19)</f>
        <v>0</v>
      </c>
      <c r="L19" s="48">
        <f>+((C19+D19+E19+F19)-(G19+H19+I19+J19))*-1</f>
        <v>-10</v>
      </c>
      <c r="M19" s="48"/>
    </row>
    <row r="20" spans="1:13">
      <c r="A20" s="29" t="s">
        <v>207</v>
      </c>
      <c r="B20" s="33">
        <f>SUM(C20:F20)</f>
        <v>10</v>
      </c>
      <c r="C20" s="34">
        <v>2</v>
      </c>
      <c r="D20" s="34">
        <v>2</v>
      </c>
      <c r="E20" s="34">
        <v>3</v>
      </c>
      <c r="F20" s="34">
        <v>3</v>
      </c>
      <c r="G20" s="48">
        <v>0</v>
      </c>
      <c r="H20" s="48"/>
      <c r="I20" s="48"/>
      <c r="J20" s="48"/>
      <c r="K20" s="48">
        <f>SUM(G20:J20)</f>
        <v>0</v>
      </c>
      <c r="L20" s="48">
        <f>+((C20+D20+E20+F20)-(G20+H20+I20+J20))*-1</f>
        <v>-10</v>
      </c>
      <c r="M20" s="48"/>
    </row>
    <row r="21" spans="1:13">
      <c r="A21" s="136" t="s">
        <v>194</v>
      </c>
      <c r="B21" s="33">
        <f>SUM(C21:F21)</f>
        <v>20</v>
      </c>
      <c r="C21" s="34">
        <v>5</v>
      </c>
      <c r="D21" s="34">
        <v>5</v>
      </c>
      <c r="E21" s="34">
        <v>5</v>
      </c>
      <c r="F21" s="34">
        <v>5</v>
      </c>
      <c r="G21" s="48">
        <v>0</v>
      </c>
      <c r="H21" s="48"/>
      <c r="I21" s="48"/>
      <c r="J21" s="48"/>
      <c r="K21" s="48">
        <f>SUM(G21:J21)</f>
        <v>0</v>
      </c>
      <c r="L21" s="48">
        <f>+((C21+D21+E21+F21)-(G21+H21+I21+J21))*-1</f>
        <v>-20</v>
      </c>
      <c r="M21" s="48"/>
    </row>
    <row r="22" spans="1:13">
      <c r="A22" s="51" t="s">
        <v>195</v>
      </c>
      <c r="B22" s="33">
        <f>SUM(C22:F22)</f>
        <v>20</v>
      </c>
      <c r="C22" s="34">
        <v>7</v>
      </c>
      <c r="D22" s="34">
        <v>4</v>
      </c>
      <c r="E22" s="34">
        <v>4</v>
      </c>
      <c r="F22" s="34">
        <v>5</v>
      </c>
      <c r="G22" s="48">
        <v>0</v>
      </c>
      <c r="H22" s="48"/>
      <c r="I22" s="48">
        <v>4</v>
      </c>
      <c r="J22" s="48">
        <v>15</v>
      </c>
      <c r="K22" s="48">
        <f>SUM(G22:J22)</f>
        <v>19</v>
      </c>
      <c r="L22" s="48">
        <f>+((C22+D22+E22+F22)-(G22+H22+I22+J22))*-1</f>
        <v>-1</v>
      </c>
      <c r="M22" s="48">
        <v>45</v>
      </c>
    </row>
    <row r="23" spans="1:13">
      <c r="A23" s="51" t="s">
        <v>31</v>
      </c>
      <c r="B23" s="33">
        <f>SUM(C23:F23)</f>
        <v>15</v>
      </c>
      <c r="C23" s="34">
        <v>3</v>
      </c>
      <c r="D23" s="34">
        <v>3</v>
      </c>
      <c r="E23" s="34">
        <v>4</v>
      </c>
      <c r="F23" s="34">
        <v>5</v>
      </c>
      <c r="G23" s="48">
        <v>8.5</v>
      </c>
      <c r="H23" s="48"/>
      <c r="I23" s="48">
        <v>1</v>
      </c>
      <c r="J23" s="48">
        <v>2</v>
      </c>
      <c r="K23" s="48">
        <f>SUM(G23:J23)</f>
        <v>11.5</v>
      </c>
      <c r="L23" s="48">
        <f>+((C23+D23+E23+F23)-(G23+H23+I23+J23))*-1</f>
        <v>-3.5</v>
      </c>
      <c r="M23" s="48">
        <v>45</v>
      </c>
    </row>
    <row r="24" ht="14.25" customHeight="1" spans="1:13">
      <c r="A24" s="51" t="s">
        <v>166</v>
      </c>
      <c r="B24" s="33">
        <f>SUM(C24:F24)</f>
        <v>20</v>
      </c>
      <c r="C24" s="34">
        <v>5</v>
      </c>
      <c r="D24" s="34">
        <v>5</v>
      </c>
      <c r="E24" s="34">
        <v>5</v>
      </c>
      <c r="F24" s="137">
        <v>5</v>
      </c>
      <c r="G24" s="48">
        <v>5</v>
      </c>
      <c r="H24" s="48">
        <v>2</v>
      </c>
      <c r="I24" s="138">
        <v>11</v>
      </c>
      <c r="J24" s="48">
        <v>16.5</v>
      </c>
      <c r="K24" s="48">
        <f>SUM(G24:J24)</f>
        <v>34.5</v>
      </c>
      <c r="L24" s="48">
        <f>+((C24+D24+E24+F24)-(G24+H24+I24+J24))*-1</f>
        <v>14.5</v>
      </c>
      <c r="M24" s="48">
        <v>43</v>
      </c>
    </row>
    <row r="25" spans="1:16">
      <c r="A25" s="51" t="s">
        <v>141</v>
      </c>
      <c r="B25" s="33">
        <f>SUM(C25:F25)</f>
        <v>10</v>
      </c>
      <c r="C25" s="34">
        <v>1</v>
      </c>
      <c r="D25" s="34">
        <v>2</v>
      </c>
      <c r="E25" s="34">
        <v>3</v>
      </c>
      <c r="F25" s="34">
        <v>4</v>
      </c>
      <c r="G25" s="48">
        <v>6.5</v>
      </c>
      <c r="H25" s="48">
        <v>7</v>
      </c>
      <c r="I25" s="48">
        <v>3</v>
      </c>
      <c r="J25" s="48">
        <v>5</v>
      </c>
      <c r="K25" s="48">
        <f>SUM(G25:J25)</f>
        <v>21.5</v>
      </c>
      <c r="L25" s="48">
        <f>+((C25+D25+E25+F25)-(G25+H25+I25+J25))*-1</f>
        <v>11.5</v>
      </c>
      <c r="M25" s="48">
        <v>51</v>
      </c>
      <c r="P25" s="139"/>
    </row>
    <row r="26" spans="1:13">
      <c r="A26" s="51" t="s">
        <v>167</v>
      </c>
      <c r="B26" s="33">
        <f>SUM(C26:F26)</f>
        <v>10</v>
      </c>
      <c r="C26" s="34">
        <v>1</v>
      </c>
      <c r="D26" s="34">
        <v>2</v>
      </c>
      <c r="E26" s="34">
        <v>3</v>
      </c>
      <c r="F26" s="34">
        <v>4</v>
      </c>
      <c r="G26" s="48">
        <v>2</v>
      </c>
      <c r="H26" s="48">
        <v>8</v>
      </c>
      <c r="I26" s="48">
        <v>4.5</v>
      </c>
      <c r="J26" s="48">
        <v>2</v>
      </c>
      <c r="K26" s="48">
        <f>SUM(G26:J26)</f>
        <v>16.5</v>
      </c>
      <c r="L26" s="48">
        <f>+((C26+D26+E26+F26)-(G26+H26+I26+J26))*-1</f>
        <v>6.5</v>
      </c>
      <c r="M26" s="48">
        <v>57</v>
      </c>
    </row>
    <row r="27" spans="1:13">
      <c r="A27" s="51" t="s">
        <v>208</v>
      </c>
      <c r="B27" s="33">
        <f>SUM(C27:F27)</f>
        <v>10</v>
      </c>
      <c r="C27" s="34">
        <v>2</v>
      </c>
      <c r="D27" s="34">
        <v>2</v>
      </c>
      <c r="E27" s="34">
        <v>3</v>
      </c>
      <c r="F27" s="34">
        <v>3</v>
      </c>
      <c r="G27" s="48">
        <v>0</v>
      </c>
      <c r="H27" s="48"/>
      <c r="I27" s="48"/>
      <c r="J27" s="48"/>
      <c r="K27" s="48">
        <f>SUM(G27:J27)</f>
        <v>0</v>
      </c>
      <c r="L27" s="48">
        <f>+((C27+D27+E27+F27)-(G27+H27+I27+J27))*-1</f>
        <v>-10</v>
      </c>
      <c r="M27" s="48"/>
    </row>
    <row r="28" spans="1:13">
      <c r="A28" s="53" t="s">
        <v>33</v>
      </c>
      <c r="B28" s="33">
        <f>SUM(C28:F28)</f>
        <v>20</v>
      </c>
      <c r="C28" s="34">
        <v>5</v>
      </c>
      <c r="D28" s="34">
        <v>5</v>
      </c>
      <c r="E28" s="34">
        <v>5</v>
      </c>
      <c r="F28" s="34">
        <v>5</v>
      </c>
      <c r="G28" s="35">
        <v>8.5</v>
      </c>
      <c r="H28" s="35">
        <v>7</v>
      </c>
      <c r="I28" s="35">
        <v>1</v>
      </c>
      <c r="J28" s="48"/>
      <c r="K28" s="48">
        <f>SUM(G28:J28)</f>
        <v>16.5</v>
      </c>
      <c r="L28" s="48">
        <f>+((C28+D28+E28+F28)-(G28+H28+I28+J28))*-1</f>
        <v>-3.5</v>
      </c>
      <c r="M28" s="35">
        <v>1</v>
      </c>
    </row>
    <row r="29" spans="1:13">
      <c r="A29" s="53" t="s">
        <v>37</v>
      </c>
      <c r="B29" s="33">
        <f>SUM(C29:F29)</f>
        <v>0</v>
      </c>
      <c r="C29" s="34"/>
      <c r="D29" s="34"/>
      <c r="E29" s="34"/>
      <c r="F29" s="34"/>
      <c r="G29" s="35">
        <v>0</v>
      </c>
      <c r="H29" s="35"/>
      <c r="I29" s="35"/>
      <c r="J29" s="35"/>
      <c r="K29" s="48">
        <f>SUM(G29:J29)</f>
        <v>0</v>
      </c>
      <c r="L29" s="48">
        <f>+((C29+D29+E29+F29)-(G29+H29+I29+J29))*-1</f>
        <v>0</v>
      </c>
      <c r="M29" s="35"/>
    </row>
    <row r="30" spans="1:13">
      <c r="A30" s="53" t="s">
        <v>38</v>
      </c>
      <c r="B30" s="33">
        <f>SUM(C30:F30)</f>
        <v>40</v>
      </c>
      <c r="C30" s="34">
        <v>10</v>
      </c>
      <c r="D30" s="34">
        <v>10</v>
      </c>
      <c r="E30" s="34">
        <v>10</v>
      </c>
      <c r="F30" s="34">
        <v>10</v>
      </c>
      <c r="G30" s="38">
        <v>8</v>
      </c>
      <c r="H30" s="35">
        <v>9</v>
      </c>
      <c r="I30" s="35">
        <v>2.5</v>
      </c>
      <c r="J30" s="35">
        <v>13</v>
      </c>
      <c r="K30" s="48">
        <f>SUM(G30:J30)</f>
        <v>32.5</v>
      </c>
      <c r="L30" s="48">
        <f>+((C30+D30+E30+F30)-(G30+H30+I30+J30))*-1</f>
        <v>-7.5</v>
      </c>
      <c r="M30" s="35">
        <v>2</v>
      </c>
    </row>
    <row r="31" spans="1:13">
      <c r="A31" s="128" t="s">
        <v>39</v>
      </c>
      <c r="B31" s="33">
        <f>SUM(C31:F31)</f>
        <v>305</v>
      </c>
      <c r="C31" s="41">
        <f>SUM(C12:C30)</f>
        <v>69</v>
      </c>
      <c r="D31" s="41">
        <f t="shared" ref="D31:J31" si="4">SUM(D11:D30)</f>
        <v>76</v>
      </c>
      <c r="E31" s="41">
        <f>SUM(E11:E30)</f>
        <v>75</v>
      </c>
      <c r="F31" s="41">
        <f>SUM(F11:F30)</f>
        <v>85</v>
      </c>
      <c r="G31" s="41">
        <f>SUM(G11:G30)</f>
        <v>80.5</v>
      </c>
      <c r="H31" s="41">
        <f>SUM(H11:H30)</f>
        <v>58</v>
      </c>
      <c r="I31" s="41">
        <f>SUM(I11:I30)</f>
        <v>41</v>
      </c>
      <c r="J31" s="41">
        <f>SUM(J11:J30)</f>
        <v>93</v>
      </c>
      <c r="K31" s="78">
        <f>SUM(G31:J31)</f>
        <v>272.5</v>
      </c>
      <c r="L31" s="48">
        <f>+((C31+D31+E31+F31)-(G31+H31+I31+J31))*-1</f>
        <v>-32.5</v>
      </c>
      <c r="M31" s="41">
        <f>SUM(M12:M30)</f>
        <v>389</v>
      </c>
    </row>
    <row r="32" spans="1:15">
      <c r="A32" s="42" t="s">
        <v>40</v>
      </c>
      <c r="B32" s="43"/>
      <c r="C32" s="44" t="s">
        <v>14</v>
      </c>
      <c r="D32" s="45"/>
      <c r="E32" s="45"/>
      <c r="F32" s="46"/>
      <c r="G32" s="44" t="s">
        <v>15</v>
      </c>
      <c r="H32" s="45"/>
      <c r="I32" s="45"/>
      <c r="J32" s="46"/>
      <c r="K32" s="83"/>
      <c r="L32" s="84"/>
      <c r="M32" s="84"/>
      <c r="N32" s="111"/>
      <c r="O32" s="90"/>
    </row>
    <row r="33" ht="25.5" spans="1:15">
      <c r="A33" s="47" t="s">
        <v>16</v>
      </c>
      <c r="B33" s="47" t="s">
        <v>17</v>
      </c>
      <c r="C33" s="47" t="s">
        <v>152</v>
      </c>
      <c r="D33" s="47" t="s">
        <v>154</v>
      </c>
      <c r="E33" s="47" t="s">
        <v>180</v>
      </c>
      <c r="F33" s="47" t="s">
        <v>75</v>
      </c>
      <c r="G33" s="47" t="s">
        <v>152</v>
      </c>
      <c r="H33" s="47" t="s">
        <v>154</v>
      </c>
      <c r="I33" s="47" t="s">
        <v>180</v>
      </c>
      <c r="J33" s="47" t="s">
        <v>75</v>
      </c>
      <c r="K33" s="47" t="s">
        <v>22</v>
      </c>
      <c r="L33" s="47" t="s">
        <v>41</v>
      </c>
      <c r="M33" s="47" t="s">
        <v>42</v>
      </c>
      <c r="N33" s="89"/>
      <c r="O33" s="90"/>
    </row>
    <row r="34" spans="1:15">
      <c r="A34" s="29" t="s">
        <v>209</v>
      </c>
      <c r="B34" s="48">
        <f>SUM(C34:F34)</f>
        <v>17.5</v>
      </c>
      <c r="C34" s="35">
        <v>2.5</v>
      </c>
      <c r="D34" s="34">
        <v>5</v>
      </c>
      <c r="E34" s="34">
        <v>4</v>
      </c>
      <c r="F34" s="34">
        <v>6</v>
      </c>
      <c r="G34" s="49">
        <f>(31600+43700+20300+55650+27750+29100+69900)/100000</f>
        <v>2.78</v>
      </c>
      <c r="H34" s="50">
        <f>(78200+10000+97000+5000+43000+24800+62450+52500+21200)/100000</f>
        <v>3.9415</v>
      </c>
      <c r="I34" s="50">
        <f>(40900+136540+39270+106770+87220)/100000</f>
        <v>4.107</v>
      </c>
      <c r="J34" s="50">
        <f>(37170+155000+15000+61716+119900+10000+84600+45850)/100000</f>
        <v>5.29236</v>
      </c>
      <c r="K34" s="50">
        <f t="shared" ref="K34:K46" si="5">SUM(G34:J34)</f>
        <v>16.12086</v>
      </c>
      <c r="L34" s="50">
        <f>+((C34+D34+E34+F34)-(G34+H34+I34+J34))*-1</f>
        <v>-1.37914</v>
      </c>
      <c r="M34" s="91">
        <f>+K34/B34</f>
        <v>0.921192</v>
      </c>
      <c r="N34" s="89"/>
      <c r="O34" s="90"/>
    </row>
    <row r="35" spans="1:15">
      <c r="A35" s="29" t="s">
        <v>26</v>
      </c>
      <c r="B35" s="48">
        <f t="shared" ref="B35:B46" si="6">SUM(C35:F35)</f>
        <v>15</v>
      </c>
      <c r="C35" s="35">
        <v>2.5</v>
      </c>
      <c r="D35" s="34">
        <v>4</v>
      </c>
      <c r="E35" s="34">
        <v>4</v>
      </c>
      <c r="F35" s="34">
        <v>4.5</v>
      </c>
      <c r="G35" s="129">
        <f>(3000+7100+33000+73810+93418+104600)/100000</f>
        <v>3.14928</v>
      </c>
      <c r="H35" s="130">
        <f>(53800+50900+23400+3856+101000+35800+88840)/100000</f>
        <v>3.57596</v>
      </c>
      <c r="I35" s="50">
        <f>(5000+21060+16200+86000)/100000</f>
        <v>1.2826</v>
      </c>
      <c r="J35" s="134">
        <f>(44800+108500+10900+32000+22500+3600)/100000</f>
        <v>2.223</v>
      </c>
      <c r="K35" s="50">
        <f>SUM(G35:J35)</f>
        <v>10.23084</v>
      </c>
      <c r="L35" s="50">
        <f t="shared" ref="L35:L46" si="7">+((C35+D35+E35+F35)-(G35+H35+I35+J35))*-1</f>
        <v>-4.76916</v>
      </c>
      <c r="M35" s="91">
        <f t="shared" ref="M35:M46" si="8">+K35/B35</f>
        <v>0.682056</v>
      </c>
      <c r="N35" s="92"/>
      <c r="O35" s="93"/>
    </row>
    <row r="36" spans="1:15">
      <c r="A36" s="29" t="s">
        <v>27</v>
      </c>
      <c r="B36" s="48">
        <f>SUM(C36:F36)</f>
        <v>13</v>
      </c>
      <c r="C36" s="34">
        <v>2</v>
      </c>
      <c r="D36" s="34">
        <v>2</v>
      </c>
      <c r="E36" s="34">
        <v>3</v>
      </c>
      <c r="F36" s="34">
        <v>6</v>
      </c>
      <c r="G36" s="129">
        <f>(15600+15800+34000+17300+22400+45500)/100000</f>
        <v>1.506</v>
      </c>
      <c r="H36" s="50">
        <f>(19800+60000+73300+13500+20700+23200+47880)/100000</f>
        <v>2.5838</v>
      </c>
      <c r="I36" s="50">
        <f>(24300+14200+33400+52700+18400)/100000</f>
        <v>1.43</v>
      </c>
      <c r="J36" s="134">
        <f>(60100+96900+4000+17100+19500+220100+22100)/100000</f>
        <v>4.398</v>
      </c>
      <c r="K36" s="50">
        <f>SUM(G36:J36)</f>
        <v>9.9178</v>
      </c>
      <c r="L36" s="50">
        <f>+((C36+D36+E36+F36)-(G36+H36+I36+J36))*-1</f>
        <v>-3.0822</v>
      </c>
      <c r="M36" s="91">
        <f>+K36/B36</f>
        <v>0.762907692307692</v>
      </c>
      <c r="N36" s="92"/>
      <c r="O36" s="93"/>
    </row>
    <row r="37" spans="1:15">
      <c r="A37" s="29" t="s">
        <v>29</v>
      </c>
      <c r="B37" s="48">
        <f>SUM(C37:F37)</f>
        <v>4.25</v>
      </c>
      <c r="C37" s="34">
        <v>0.75</v>
      </c>
      <c r="D37" s="34">
        <v>1.5</v>
      </c>
      <c r="E37" s="34">
        <v>0.75</v>
      </c>
      <c r="F37" s="34">
        <v>1.25</v>
      </c>
      <c r="G37" s="129">
        <f>(4000+6000+5000+16800)/100000</f>
        <v>0.318</v>
      </c>
      <c r="H37" s="50">
        <f>(55400+7000+9600)/100000</f>
        <v>0.72</v>
      </c>
      <c r="I37" s="50">
        <f>(10100+1200+55200)/100000</f>
        <v>0.665</v>
      </c>
      <c r="J37" s="134">
        <f>(55800+10800+4000+8000+69400)/100000</f>
        <v>1.48</v>
      </c>
      <c r="K37" s="50">
        <f>SUM(G37:J37)</f>
        <v>3.183</v>
      </c>
      <c r="L37" s="50">
        <f>+((C37+D37+E37+F37)-(G37+H37+I37+J37))*-1</f>
        <v>-1.067</v>
      </c>
      <c r="M37" s="91">
        <f>+K37/B37</f>
        <v>0.748941176470588</v>
      </c>
      <c r="N37" s="92"/>
      <c r="O37" s="93"/>
    </row>
    <row r="38" spans="1:15">
      <c r="A38" s="29" t="s">
        <v>87</v>
      </c>
      <c r="B38" s="48">
        <f>SUM(C38:F38)</f>
        <v>5.25</v>
      </c>
      <c r="C38" s="34">
        <v>1</v>
      </c>
      <c r="D38" s="34">
        <v>1.25</v>
      </c>
      <c r="E38" s="34">
        <v>1.5</v>
      </c>
      <c r="F38" s="34">
        <v>1.5</v>
      </c>
      <c r="G38" s="129">
        <f>(16930+19940+9600+10330+25400+20825+8300)/100000</f>
        <v>1.11325</v>
      </c>
      <c r="H38" s="50">
        <f>(24200+16500+23000+14500+36250+17300+21950)/100000</f>
        <v>1.537</v>
      </c>
      <c r="I38" s="50">
        <f>(6150+12780+9600+30850+35650)/100000</f>
        <v>0.9503</v>
      </c>
      <c r="J38" s="134">
        <f>(27300+61600+7000+4900+34200+25770+6700)/100000</f>
        <v>1.6747</v>
      </c>
      <c r="K38" s="50">
        <f>SUM(G38:J38)</f>
        <v>5.27525</v>
      </c>
      <c r="L38" s="50">
        <f>+((C38+D38+E38+F38)-(G38+H38+I38+J38))*-1</f>
        <v>0.0252499999999998</v>
      </c>
      <c r="M38" s="91">
        <f>+K38/B38</f>
        <v>1.00480952380952</v>
      </c>
      <c r="N38" s="92"/>
      <c r="O38" s="93"/>
    </row>
    <row r="39" spans="1:15">
      <c r="A39" s="51" t="s">
        <v>196</v>
      </c>
      <c r="B39" s="48">
        <f>SUM(C39:F39)</f>
        <v>14.5</v>
      </c>
      <c r="C39" s="35">
        <v>3</v>
      </c>
      <c r="D39" s="52">
        <v>4</v>
      </c>
      <c r="E39" s="52">
        <v>3</v>
      </c>
      <c r="F39" s="52">
        <v>4.5</v>
      </c>
      <c r="G39" s="129">
        <f>(55490+24700+11900+67970+69673+26400+47500)/100000</f>
        <v>3.03633</v>
      </c>
      <c r="H39" s="50">
        <f>(30300+46700+31100+69400+25500+42250+23250)/100000</f>
        <v>2.685</v>
      </c>
      <c r="I39" s="50">
        <f>(30700+18650+5000+41150+44300+4200+32400)/100000</f>
        <v>1.764</v>
      </c>
      <c r="J39" s="134">
        <f>(42950+32350+30780+23200+25550+37300)/100000</f>
        <v>1.9213</v>
      </c>
      <c r="K39" s="50">
        <f>SUM(G39:J39)</f>
        <v>9.40663</v>
      </c>
      <c r="L39" s="50">
        <f>+((C39+D39+E39+F39)-(G39+H39+I39+J39))*-1</f>
        <v>-5.09337</v>
      </c>
      <c r="M39" s="91">
        <f>+K39/B39</f>
        <v>0.648733103448276</v>
      </c>
      <c r="N39" s="94"/>
      <c r="O39" s="95"/>
    </row>
    <row r="40" spans="1:15">
      <c r="A40" s="51" t="s">
        <v>197</v>
      </c>
      <c r="B40" s="48">
        <f>SUM(C40:F40)</f>
        <v>14.5</v>
      </c>
      <c r="C40" s="35">
        <v>3.25</v>
      </c>
      <c r="D40" s="52">
        <v>3.5</v>
      </c>
      <c r="E40" s="52">
        <v>3.5</v>
      </c>
      <c r="F40" s="52">
        <v>4.25</v>
      </c>
      <c r="G40" s="129">
        <f>(34100+22500+39370+47750+47050+124570)/100000</f>
        <v>3.1534</v>
      </c>
      <c r="H40" s="50">
        <f>(62500+36400+49650+107050+37050+46150+41970)/100000</f>
        <v>3.8077</v>
      </c>
      <c r="I40" s="50">
        <f>(34220+33950+33650+59800+111150)/100000</f>
        <v>2.7277</v>
      </c>
      <c r="J40" s="134">
        <f>(42500+79900+74500+45300+42210+3400+58150+34550)/100000</f>
        <v>3.8051</v>
      </c>
      <c r="K40" s="50">
        <f>SUM(G40:J40)</f>
        <v>13.4939</v>
      </c>
      <c r="L40" s="50">
        <f>+((C40+D40+E40+F40)-(G40+H40+I40+J40))*-1</f>
        <v>-1.0061</v>
      </c>
      <c r="M40" s="91">
        <f>+K40/B40</f>
        <v>0.930613793103448</v>
      </c>
      <c r="N40" s="92"/>
      <c r="O40" s="93"/>
    </row>
    <row r="41" spans="1:15">
      <c r="A41" s="51" t="s">
        <v>198</v>
      </c>
      <c r="B41" s="48">
        <f>SUM(C41:F41)</f>
        <v>9.5</v>
      </c>
      <c r="C41" s="35">
        <v>2.25</v>
      </c>
      <c r="D41" s="52">
        <v>2.5</v>
      </c>
      <c r="E41" s="52">
        <v>2</v>
      </c>
      <c r="F41" s="52">
        <v>2.75</v>
      </c>
      <c r="G41" s="129">
        <f>(17800+16700+25900+16500+39200+25300+3800+8600+48400+5400+2700+5600)/100000</f>
        <v>2.159</v>
      </c>
      <c r="H41" s="50">
        <f>(33200+500+47350+45500+27000+14200+2400+25900+10200+43000+32300)/100000</f>
        <v>2.8155</v>
      </c>
      <c r="I41" s="50">
        <f>(40200+20000+21000+5700+13700+10000+60700+800+21900)/100000</f>
        <v>1.94</v>
      </c>
      <c r="J41" s="134">
        <f>(11200+34300+22500+32500+23000+23900+35500+11000+37700)/100000</f>
        <v>2.316</v>
      </c>
      <c r="K41" s="50">
        <f>SUM(G41:J41)</f>
        <v>9.2305</v>
      </c>
      <c r="L41" s="50">
        <f>+((C41+D41+E41+F41)-(G41+H41+I41+J41))*-1</f>
        <v>-0.269500000000001</v>
      </c>
      <c r="M41" s="91">
        <f>+K41/B41</f>
        <v>0.971631578947368</v>
      </c>
      <c r="N41" s="92"/>
      <c r="O41" s="93"/>
    </row>
    <row r="42" spans="1:15">
      <c r="A42" s="51" t="s">
        <v>199</v>
      </c>
      <c r="B42" s="48">
        <f>SUM(C42:F42)</f>
        <v>7.5</v>
      </c>
      <c r="C42" s="35">
        <v>1.75</v>
      </c>
      <c r="D42" s="52">
        <v>1.75</v>
      </c>
      <c r="E42" s="52">
        <v>1.5</v>
      </c>
      <c r="F42" s="52">
        <v>2.5</v>
      </c>
      <c r="G42" s="129">
        <f>(14300+24800+15400+11200+30950+23700)/100000</f>
        <v>1.2035</v>
      </c>
      <c r="H42" s="50">
        <f>(24000+34400+37200+58100+10400+18600)/100000</f>
        <v>1.827</v>
      </c>
      <c r="I42" s="50">
        <f>(10000+44000+8800)/100000</f>
        <v>0.628</v>
      </c>
      <c r="J42" s="134">
        <f>(39100+15100+32200+22700+29200+81000+26400+16150)/100000</f>
        <v>2.6185</v>
      </c>
      <c r="K42" s="50">
        <f>SUM(G42:J42)</f>
        <v>6.277</v>
      </c>
      <c r="L42" s="50">
        <f>+((C42+D42+E42+F42)-(G42+H42+I42+J42))*-1</f>
        <v>-1.223</v>
      </c>
      <c r="M42" s="91">
        <f>+K42/B42</f>
        <v>0.836933333333333</v>
      </c>
      <c r="N42" s="92"/>
      <c r="O42" s="93"/>
    </row>
    <row r="43" spans="1:15">
      <c r="A43" s="51" t="s">
        <v>200</v>
      </c>
      <c r="B43" s="48">
        <f>SUM(C43:F43)</f>
        <v>7.5</v>
      </c>
      <c r="C43" s="35">
        <v>2</v>
      </c>
      <c r="D43" s="52">
        <v>2</v>
      </c>
      <c r="E43" s="52">
        <v>1.5</v>
      </c>
      <c r="F43" s="52">
        <v>2</v>
      </c>
      <c r="G43" s="129">
        <f>(15290+34500+27460+57436+17500+11800+1700+1000)/100000</f>
        <v>1.66686</v>
      </c>
      <c r="H43" s="50">
        <f>(13200+24800+11100+3200+1100+27900+36700+47500)/100000</f>
        <v>1.655</v>
      </c>
      <c r="I43" s="50">
        <f>(3500+30900+70800+158900+56600)/100000</f>
        <v>3.207</v>
      </c>
      <c r="J43" s="134">
        <f>(32060+21900+11900+6500+49300+28300+32500+48300)/100000</f>
        <v>2.3076</v>
      </c>
      <c r="K43" s="50">
        <f>SUM(G43:J43)</f>
        <v>8.83646</v>
      </c>
      <c r="L43" s="50">
        <f>+((C43+D43+E43+F43)-(G43+H43+I43+J43))*-1</f>
        <v>1.33646</v>
      </c>
      <c r="M43" s="91">
        <f>+K43/B43</f>
        <v>1.17819466666667</v>
      </c>
      <c r="N43" s="92"/>
      <c r="O43" s="93"/>
    </row>
    <row r="44" spans="1:15">
      <c r="A44" s="53" t="s">
        <v>35</v>
      </c>
      <c r="B44" s="48">
        <f>SUM(C44:F44)</f>
        <v>4.5</v>
      </c>
      <c r="C44" s="35">
        <v>1</v>
      </c>
      <c r="D44" s="52">
        <v>1.25</v>
      </c>
      <c r="E44" s="52">
        <v>1</v>
      </c>
      <c r="F44" s="52">
        <v>1.25</v>
      </c>
      <c r="G44" s="129"/>
      <c r="H44" s="50">
        <f>(90200)/100000</f>
        <v>0.902</v>
      </c>
      <c r="I44" s="50">
        <f>(117600)/100000</f>
        <v>1.176</v>
      </c>
      <c r="J44" s="134">
        <f>(99600)/100000</f>
        <v>0.996</v>
      </c>
      <c r="K44" s="50">
        <f>SUM(G44:J44)</f>
        <v>3.074</v>
      </c>
      <c r="L44" s="50">
        <f>+((C44+D44+E44+F44)-(G44+H44+I44+J44))*-1</f>
        <v>-1.426</v>
      </c>
      <c r="M44" s="91">
        <f>+K44/B44</f>
        <v>0.683111111111111</v>
      </c>
      <c r="N44" s="92"/>
      <c r="O44" s="93"/>
    </row>
    <row r="45" spans="1:15">
      <c r="A45" s="53" t="s">
        <v>38</v>
      </c>
      <c r="B45" s="48">
        <f>SUM(C45:F45)</f>
        <v>23</v>
      </c>
      <c r="C45" s="35">
        <v>4.5</v>
      </c>
      <c r="D45" s="52">
        <v>4</v>
      </c>
      <c r="E45" s="52">
        <v>6.5</v>
      </c>
      <c r="F45" s="52">
        <v>8</v>
      </c>
      <c r="G45" s="129">
        <f>(142500+45200+71156+166100+30815+42000+32200+9800)/100000</f>
        <v>5.39771</v>
      </c>
      <c r="H45" s="50">
        <f>(109430+376460+21200+263700+34710+75370)/100000</f>
        <v>8.8087</v>
      </c>
      <c r="I45" s="50">
        <f>(54900+28000+55862+73735+82140+400+230020+513640+117675)/100000</f>
        <v>11.56372</v>
      </c>
      <c r="J45" s="134">
        <f>(22020+144085+47400+39550+50760+340855+56438+59395)/100000</f>
        <v>7.60503</v>
      </c>
      <c r="K45" s="50">
        <f>SUM(G45:J45)</f>
        <v>33.37516</v>
      </c>
      <c r="L45" s="50">
        <f>+((C45+D45+E45+F45)-(G45+H45+I45+J45))*-1</f>
        <v>10.37516</v>
      </c>
      <c r="M45" s="91">
        <f>+K45/B45</f>
        <v>1.45109391304348</v>
      </c>
      <c r="N45" s="92"/>
      <c r="O45" s="93"/>
    </row>
    <row r="46" spans="1:15">
      <c r="A46" s="54" t="s">
        <v>44</v>
      </c>
      <c r="B46" s="48">
        <f>SUM(C46:F46)</f>
        <v>136</v>
      </c>
      <c r="C46" s="35">
        <f t="shared" ref="C46:J46" si="9">SUM(C34:C45)</f>
        <v>26.5</v>
      </c>
      <c r="D46" s="48">
        <f>SUM(D34:D45)</f>
        <v>32.75</v>
      </c>
      <c r="E46" s="48">
        <f>SUM(E34:E45)</f>
        <v>32.25</v>
      </c>
      <c r="F46" s="48">
        <f>SUM(F34:F45)</f>
        <v>44.5</v>
      </c>
      <c r="G46" s="131">
        <f>SUM(G34:G45)</f>
        <v>25.48333</v>
      </c>
      <c r="H46" s="50">
        <f>SUM(H34:H45)</f>
        <v>34.85916</v>
      </c>
      <c r="I46" s="50">
        <f>SUM(I34:I45)</f>
        <v>31.44132</v>
      </c>
      <c r="J46" s="134">
        <f>SUM(J34:J45)</f>
        <v>36.63759</v>
      </c>
      <c r="K46" s="135">
        <f>SUM(G46:J46)</f>
        <v>128.4214</v>
      </c>
      <c r="L46" s="50">
        <f>+((C46+D46+E46+F46)-(G46+H46+I46+J46))*-1</f>
        <v>-7.57859999999999</v>
      </c>
      <c r="M46" s="91">
        <f>+K46/B46</f>
        <v>0.944275</v>
      </c>
      <c r="N46" s="92"/>
      <c r="O46" s="93"/>
    </row>
    <row r="47" spans="1:15">
      <c r="A47" s="55"/>
      <c r="B47" s="56"/>
      <c r="C47" s="57"/>
      <c r="N47" s="94"/>
      <c r="O47" s="95"/>
    </row>
    <row r="48" spans="14:15">
      <c r="N48" s="92"/>
      <c r="O48" s="93"/>
    </row>
    <row r="49" spans="14:15">
      <c r="N49" s="92"/>
      <c r="O49" s="93"/>
    </row>
    <row r="50" spans="2:15">
      <c r="B50" s="1"/>
      <c r="N50" s="92"/>
      <c r="O50" s="93"/>
    </row>
    <row r="51" spans="2:15">
      <c r="B51" s="1"/>
      <c r="N51" s="92"/>
      <c r="O51" s="93"/>
    </row>
    <row r="52" spans="2:15">
      <c r="B52" s="1"/>
      <c r="N52" s="92"/>
      <c r="O52" s="93"/>
    </row>
    <row r="53" spans="2:15">
      <c r="B53" s="1"/>
      <c r="N53" s="92"/>
      <c r="O53" s="93"/>
    </row>
    <row r="54" spans="2:15">
      <c r="B54" s="1"/>
      <c r="N54" s="92"/>
      <c r="O54" s="93"/>
    </row>
    <row r="55" spans="2:15">
      <c r="B55" s="1"/>
      <c r="N55" s="92"/>
      <c r="O55" s="93"/>
    </row>
    <row r="56" spans="2:15">
      <c r="B56" s="1"/>
      <c r="N56" s="92"/>
      <c r="O56" s="93"/>
    </row>
    <row r="57" spans="2:15">
      <c r="B57" s="1"/>
      <c r="N57" s="94"/>
      <c r="O57" s="95"/>
    </row>
    <row r="58" spans="2:15">
      <c r="B58" s="1"/>
      <c r="N58" s="92"/>
      <c r="O58" s="93"/>
    </row>
    <row r="59" spans="2:15">
      <c r="B59" s="1"/>
      <c r="N59" s="92"/>
      <c r="O59" s="93"/>
    </row>
    <row r="60" spans="2:15">
      <c r="B60" s="1"/>
      <c r="N60" s="92"/>
      <c r="O60" s="93"/>
    </row>
    <row r="61" spans="2:15">
      <c r="B61" s="1"/>
      <c r="N61" s="92"/>
      <c r="O61" s="93"/>
    </row>
    <row r="62" spans="2:15">
      <c r="B62" s="1"/>
      <c r="N62" s="92"/>
      <c r="O62" s="93"/>
    </row>
    <row r="63" spans="2:15">
      <c r="B63" s="1"/>
      <c r="N63" s="92"/>
      <c r="O63" s="93"/>
    </row>
    <row r="64" spans="2:15">
      <c r="B64" s="1"/>
      <c r="N64" s="92"/>
      <c r="O64" s="93"/>
    </row>
    <row r="65" spans="2:15">
      <c r="B65" s="1"/>
      <c r="N65" s="94"/>
      <c r="O65" s="95"/>
    </row>
    <row r="66" spans="2:15">
      <c r="B66" s="1"/>
      <c r="N66" s="92"/>
      <c r="O66" s="93"/>
    </row>
    <row r="67" spans="2:15">
      <c r="B67" s="1"/>
      <c r="N67" s="92"/>
      <c r="O67" s="93"/>
    </row>
    <row r="68" spans="2:15">
      <c r="B68" s="1"/>
      <c r="N68" s="92"/>
      <c r="O68" s="93"/>
    </row>
    <row r="69" spans="2:15">
      <c r="B69" s="1"/>
      <c r="N69" s="92"/>
      <c r="O69" s="93"/>
    </row>
    <row r="70" spans="2:15">
      <c r="B70" s="1"/>
      <c r="N70" s="92"/>
      <c r="O70" s="93"/>
    </row>
    <row r="71" spans="2:15">
      <c r="B71" s="1"/>
      <c r="N71" s="92"/>
      <c r="O71" s="93"/>
    </row>
    <row r="72" spans="2:15">
      <c r="B72" s="1"/>
      <c r="N72" s="92"/>
      <c r="O72" s="93"/>
    </row>
    <row r="73" spans="2:15">
      <c r="B73" s="1"/>
      <c r="N73" s="92"/>
      <c r="O73" s="96"/>
    </row>
  </sheetData>
  <mergeCells count="6">
    <mergeCell ref="B1:M1"/>
    <mergeCell ref="D8:F8"/>
    <mergeCell ref="C9:F9"/>
    <mergeCell ref="G9:J9"/>
    <mergeCell ref="C32:F32"/>
    <mergeCell ref="G32:J32"/>
  </mergeCells>
  <pageMargins left="0.699305555555556" right="0.699305555555556" top="0.75" bottom="0.75" header="0.3" footer="0.3"/>
  <pageSetup paperSize="9" orientation="landscape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65"/>
  <sheetViews>
    <sheetView topLeftCell="A22" workbookViewId="0">
      <selection activeCell="A1" sqref="A1:M38"/>
    </sheetView>
  </sheetViews>
  <sheetFormatPr defaultColWidth="9" defaultRowHeight="15"/>
  <cols>
    <col min="1" max="1" width="17.4285714285714" style="1" customWidth="1"/>
    <col min="2" max="2" width="9" style="2" customWidth="1"/>
    <col min="3" max="3" width="8.42857142857143" style="1" customWidth="1"/>
    <col min="4" max="4" width="8.57142857142857" style="1" customWidth="1"/>
    <col min="5" max="5" width="8.28571428571429" style="1" customWidth="1"/>
    <col min="6" max="6" width="8.71428571428571" style="1" customWidth="1"/>
    <col min="7" max="7" width="8.28571428571429" style="1" customWidth="1"/>
    <col min="8" max="8" width="8.85714285714286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ht="18" customHeight="1" spans="1:13">
      <c r="A1" s="125" t="s">
        <v>210</v>
      </c>
      <c r="B1" s="119" t="s">
        <v>211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spans="1:13">
      <c r="A2" s="6" t="s">
        <v>2</v>
      </c>
      <c r="B2" s="7">
        <f>+K24</f>
        <v>248</v>
      </c>
      <c r="C2" s="8"/>
      <c r="D2" s="8"/>
      <c r="E2" s="8"/>
      <c r="F2" s="8"/>
      <c r="G2" s="9"/>
      <c r="H2" s="126" t="s">
        <v>160</v>
      </c>
      <c r="I2" s="132" t="s">
        <v>145</v>
      </c>
      <c r="J2" s="126" t="s">
        <v>146</v>
      </c>
      <c r="K2" s="126" t="s">
        <v>147</v>
      </c>
      <c r="L2" s="126" t="s">
        <v>161</v>
      </c>
      <c r="M2" s="104"/>
    </row>
    <row r="3" ht="12" customHeight="1" spans="1:13">
      <c r="A3" s="6" t="s">
        <v>3</v>
      </c>
      <c r="B3" s="7">
        <f>+M24</f>
        <v>0</v>
      </c>
      <c r="C3" s="8"/>
      <c r="D3" s="8"/>
      <c r="E3" s="8"/>
      <c r="F3" s="8"/>
      <c r="G3" s="9"/>
      <c r="H3" s="126">
        <v>1</v>
      </c>
      <c r="I3" s="126"/>
      <c r="J3" s="126"/>
      <c r="K3" s="126"/>
      <c r="L3" s="127"/>
      <c r="M3" s="105"/>
    </row>
    <row r="4" ht="12" customHeight="1" spans="1:13">
      <c r="A4" s="6"/>
      <c r="B4" s="7"/>
      <c r="C4" s="8"/>
      <c r="D4" s="8"/>
      <c r="E4" s="8"/>
      <c r="F4" s="8"/>
      <c r="G4" s="9"/>
      <c r="H4" s="126">
        <v>2</v>
      </c>
      <c r="I4" s="126"/>
      <c r="J4" s="126"/>
      <c r="K4" s="126"/>
      <c r="L4" s="127"/>
      <c r="M4" s="105"/>
    </row>
    <row r="5" ht="12" customHeight="1" spans="1:13">
      <c r="A5" s="6"/>
      <c r="B5" s="7"/>
      <c r="C5" s="8"/>
      <c r="D5" s="8"/>
      <c r="E5" s="8"/>
      <c r="F5" s="8"/>
      <c r="G5" s="9"/>
      <c r="H5" s="126">
        <v>3</v>
      </c>
      <c r="I5" s="126"/>
      <c r="J5" s="126"/>
      <c r="K5" s="126"/>
      <c r="L5" s="127"/>
      <c r="M5" s="105"/>
    </row>
    <row r="6" ht="12" customHeight="1" spans="1:13">
      <c r="A6" s="6"/>
      <c r="B6" s="7"/>
      <c r="C6" s="8"/>
      <c r="D6" s="8"/>
      <c r="E6" s="8"/>
      <c r="F6" s="8"/>
      <c r="G6" s="9"/>
      <c r="H6" s="127" t="s">
        <v>162</v>
      </c>
      <c r="I6" s="127">
        <f t="shared" ref="I6:L6" si="0">SUM(I3:I5)</f>
        <v>0</v>
      </c>
      <c r="J6" s="127">
        <f>SUM(J3:J5)</f>
        <v>0</v>
      </c>
      <c r="K6" s="127">
        <f>SUM(K3:K5)</f>
        <v>0</v>
      </c>
      <c r="L6" s="133">
        <f>SUM(L3:L5)</f>
        <v>0</v>
      </c>
      <c r="M6" s="105"/>
    </row>
    <row r="7" spans="1:13">
      <c r="A7" s="6" t="s">
        <v>212</v>
      </c>
      <c r="B7" s="11"/>
      <c r="C7" s="12"/>
      <c r="D7" s="13" t="s">
        <v>5</v>
      </c>
      <c r="E7" s="12">
        <v>11</v>
      </c>
      <c r="F7" s="12"/>
      <c r="G7" s="14" t="s">
        <v>78</v>
      </c>
      <c r="H7" s="15"/>
      <c r="I7" s="62" t="s">
        <v>7</v>
      </c>
      <c r="J7" s="13">
        <f>+K38</f>
        <v>126.1394</v>
      </c>
      <c r="K7" s="12" t="s">
        <v>8</v>
      </c>
      <c r="L7" s="12" t="s">
        <v>85</v>
      </c>
      <c r="M7" s="106">
        <v>4</v>
      </c>
    </row>
    <row r="8" spans="1:13">
      <c r="A8" s="16" t="s">
        <v>10</v>
      </c>
      <c r="B8" s="17" t="s">
        <v>213</v>
      </c>
      <c r="C8" s="18" t="s">
        <v>55</v>
      </c>
      <c r="D8" s="19">
        <v>9330750</v>
      </c>
      <c r="E8" s="19"/>
      <c r="F8" s="19"/>
      <c r="G8" s="20"/>
      <c r="H8" s="21"/>
      <c r="I8" s="62"/>
      <c r="J8" s="62"/>
      <c r="K8" s="62"/>
      <c r="L8" s="62"/>
      <c r="M8" s="105"/>
    </row>
    <row r="9" spans="1:13">
      <c r="A9" s="22" t="s">
        <v>13</v>
      </c>
      <c r="B9" s="23"/>
      <c r="C9" s="23" t="s">
        <v>14</v>
      </c>
      <c r="D9" s="23"/>
      <c r="E9" s="23"/>
      <c r="F9" s="24"/>
      <c r="G9" s="11" t="s">
        <v>15</v>
      </c>
      <c r="H9" s="23"/>
      <c r="I9" s="23"/>
      <c r="J9" s="24"/>
      <c r="K9" s="63"/>
      <c r="L9" s="64"/>
      <c r="M9" s="107"/>
    </row>
    <row r="10" ht="25.5" spans="1:13">
      <c r="A10" s="25" t="s">
        <v>16</v>
      </c>
      <c r="B10" s="25" t="s">
        <v>17</v>
      </c>
      <c r="C10" s="25" t="s">
        <v>152</v>
      </c>
      <c r="D10" s="25" t="s">
        <v>153</v>
      </c>
      <c r="E10" s="25" t="s">
        <v>123</v>
      </c>
      <c r="F10" s="25" t="s">
        <v>214</v>
      </c>
      <c r="G10" s="25" t="s">
        <v>152</v>
      </c>
      <c r="H10" s="25" t="s">
        <v>154</v>
      </c>
      <c r="I10" s="25" t="s">
        <v>155</v>
      </c>
      <c r="J10" s="25" t="s">
        <v>131</v>
      </c>
      <c r="K10" s="25" t="s">
        <v>22</v>
      </c>
      <c r="L10" s="25" t="s">
        <v>23</v>
      </c>
      <c r="M10" s="25" t="s">
        <v>24</v>
      </c>
    </row>
    <row r="11" spans="1:13">
      <c r="A11" s="123" t="s">
        <v>215</v>
      </c>
      <c r="B11" s="33">
        <f>SUM(C11:F11)</f>
        <v>25</v>
      </c>
      <c r="C11" s="33">
        <v>5</v>
      </c>
      <c r="D11" s="33">
        <v>5</v>
      </c>
      <c r="E11" s="33">
        <v>7</v>
      </c>
      <c r="F11" s="33">
        <v>8</v>
      </c>
      <c r="G11" s="33">
        <v>20</v>
      </c>
      <c r="H11" s="33">
        <v>2</v>
      </c>
      <c r="I11" s="33"/>
      <c r="J11" s="33">
        <v>3</v>
      </c>
      <c r="K11" s="33">
        <f>SUM(G11:J11)</f>
        <v>25</v>
      </c>
      <c r="L11" s="48">
        <f>+((C11+D11+E11+F11)-(G11+H11+I11+J11))*-1</f>
        <v>0</v>
      </c>
      <c r="M11" s="33"/>
    </row>
    <row r="12" spans="1:13">
      <c r="A12" s="29" t="s">
        <v>216</v>
      </c>
      <c r="B12" s="33">
        <f t="shared" ref="B12:B24" si="1">SUM(C12:F12)</f>
        <v>25</v>
      </c>
      <c r="C12" s="34">
        <v>5</v>
      </c>
      <c r="D12" s="34">
        <v>7</v>
      </c>
      <c r="E12" s="34">
        <v>7</v>
      </c>
      <c r="F12" s="34">
        <v>6</v>
      </c>
      <c r="G12" s="48"/>
      <c r="H12" s="48"/>
      <c r="I12" s="48"/>
      <c r="J12" s="48">
        <v>4</v>
      </c>
      <c r="K12" s="48">
        <f t="shared" ref="K12:K24" si="2">SUM(G12:J12)</f>
        <v>4</v>
      </c>
      <c r="L12" s="48">
        <f t="shared" ref="L12:L24" si="3">+((C12+D12+E12+F12)-(G12+H12+I12+J12))*-1</f>
        <v>-21</v>
      </c>
      <c r="M12" s="48"/>
    </row>
    <row r="13" spans="1:13">
      <c r="A13" s="29" t="s">
        <v>26</v>
      </c>
      <c r="B13" s="33">
        <f>SUM(C13:F13)</f>
        <v>25</v>
      </c>
      <c r="C13" s="34">
        <v>7</v>
      </c>
      <c r="D13" s="34">
        <v>7</v>
      </c>
      <c r="E13" s="34">
        <v>5</v>
      </c>
      <c r="F13" s="34">
        <v>6</v>
      </c>
      <c r="G13" s="48">
        <v>5</v>
      </c>
      <c r="H13" s="48">
        <v>14</v>
      </c>
      <c r="I13" s="48">
        <v>4</v>
      </c>
      <c r="J13" s="48">
        <v>2</v>
      </c>
      <c r="K13" s="48">
        <f>SUM(G13:J13)</f>
        <v>25</v>
      </c>
      <c r="L13" s="48">
        <f>+((C13+D13+E13+F13)-(G13+H13+I13+J13))*-1</f>
        <v>0</v>
      </c>
      <c r="M13" s="48"/>
    </row>
    <row r="14" spans="1:17">
      <c r="A14" s="29" t="s">
        <v>27</v>
      </c>
      <c r="B14" s="33">
        <f>SUM(C14:F14)</f>
        <v>25</v>
      </c>
      <c r="C14" s="34">
        <v>5</v>
      </c>
      <c r="D14" s="34">
        <v>8</v>
      </c>
      <c r="E14" s="34">
        <v>5</v>
      </c>
      <c r="F14" s="34">
        <v>7</v>
      </c>
      <c r="G14" s="48">
        <v>1</v>
      </c>
      <c r="H14" s="48">
        <v>11</v>
      </c>
      <c r="I14" s="48">
        <v>1</v>
      </c>
      <c r="J14" s="48">
        <v>15</v>
      </c>
      <c r="K14" s="48">
        <f>SUM(G14:J14)</f>
        <v>28</v>
      </c>
      <c r="L14" s="48">
        <f>+((C14+D14+E14+F14)-(G14+H14+I14+J14))*-1</f>
        <v>3</v>
      </c>
      <c r="M14" s="48"/>
      <c r="Q14"/>
    </row>
    <row r="15" spans="1:13">
      <c r="A15" s="29" t="s">
        <v>217</v>
      </c>
      <c r="B15" s="33">
        <f>SUM(C15:F15)</f>
        <v>25</v>
      </c>
      <c r="C15" s="34">
        <v>5</v>
      </c>
      <c r="D15" s="34">
        <v>5</v>
      </c>
      <c r="E15" s="34">
        <v>7</v>
      </c>
      <c r="F15" s="34">
        <v>8</v>
      </c>
      <c r="G15" s="48">
        <v>10</v>
      </c>
      <c r="H15" s="48">
        <v>7</v>
      </c>
      <c r="I15" s="48">
        <v>1</v>
      </c>
      <c r="J15" s="124">
        <v>7.5</v>
      </c>
      <c r="K15" s="48">
        <f>SUM(G15:J15)</f>
        <v>25.5</v>
      </c>
      <c r="L15" s="48">
        <f>+((C15+D15+E15+F15)-(G15+H15+I15+J15))*-1</f>
        <v>0.5</v>
      </c>
      <c r="M15" s="48"/>
    </row>
    <row r="16" spans="1:13">
      <c r="A16" s="99" t="s">
        <v>218</v>
      </c>
      <c r="B16" s="33">
        <f>SUM(C16:F16)</f>
        <v>25</v>
      </c>
      <c r="C16" s="34">
        <v>5</v>
      </c>
      <c r="D16" s="34">
        <v>5</v>
      </c>
      <c r="E16" s="34">
        <v>7</v>
      </c>
      <c r="F16" s="34">
        <v>8</v>
      </c>
      <c r="G16" s="48">
        <v>1</v>
      </c>
      <c r="H16" s="48">
        <v>5</v>
      </c>
      <c r="I16" s="48"/>
      <c r="K16" s="48">
        <f>SUM(G16:J16)</f>
        <v>6</v>
      </c>
      <c r="L16" s="48">
        <f>+((C16+D16+E16+F16)-(G16+H16+I16+J15))*-1</f>
        <v>-11.5</v>
      </c>
      <c r="M16" s="48"/>
    </row>
    <row r="17" spans="1:13">
      <c r="A17" s="29" t="s">
        <v>219</v>
      </c>
      <c r="B17" s="33">
        <f>SUM(C17:F17)</f>
        <v>25</v>
      </c>
      <c r="C17" s="34">
        <v>5</v>
      </c>
      <c r="D17" s="34">
        <v>8</v>
      </c>
      <c r="E17" s="34">
        <v>7</v>
      </c>
      <c r="F17" s="34">
        <v>5</v>
      </c>
      <c r="G17" s="48"/>
      <c r="H17" s="48">
        <v>50</v>
      </c>
      <c r="I17" s="48"/>
      <c r="J17" s="48"/>
      <c r="K17" s="48">
        <f>SUM(G17:J17)</f>
        <v>50</v>
      </c>
      <c r="L17" s="48">
        <f>+((C17+D17+E17+F17)-(G17+H17+I17+J17))*-1</f>
        <v>25</v>
      </c>
      <c r="M17" s="48"/>
    </row>
    <row r="18" spans="1:13">
      <c r="A18" s="29" t="s">
        <v>87</v>
      </c>
      <c r="B18" s="33">
        <f>SUM(C18:F18)</f>
        <v>25</v>
      </c>
      <c r="C18" s="34">
        <v>5</v>
      </c>
      <c r="D18" s="34">
        <v>8</v>
      </c>
      <c r="E18" s="34">
        <v>7</v>
      </c>
      <c r="F18" s="34">
        <v>5</v>
      </c>
      <c r="G18" s="48">
        <v>5</v>
      </c>
      <c r="H18" s="48">
        <v>1.5</v>
      </c>
      <c r="I18" s="48">
        <v>0.5</v>
      </c>
      <c r="J18" s="48">
        <v>4</v>
      </c>
      <c r="K18" s="48">
        <f>SUM(G18:J18)</f>
        <v>11</v>
      </c>
      <c r="L18" s="48">
        <f>+((C18+D18+E18+F18)-(G18+H18+I18+J18))*-1</f>
        <v>-14</v>
      </c>
      <c r="M18" s="48"/>
    </row>
    <row r="19" customHeight="1" spans="1:13">
      <c r="A19" s="29" t="s">
        <v>166</v>
      </c>
      <c r="B19" s="33">
        <f>SUM(C19:F19)</f>
        <v>25</v>
      </c>
      <c r="C19" s="34">
        <v>8</v>
      </c>
      <c r="D19" s="34">
        <v>5</v>
      </c>
      <c r="E19" s="34">
        <v>7</v>
      </c>
      <c r="F19" s="34">
        <v>5</v>
      </c>
      <c r="G19" s="48">
        <v>5</v>
      </c>
      <c r="H19" s="48">
        <v>6.5</v>
      </c>
      <c r="I19" s="48">
        <v>4</v>
      </c>
      <c r="J19" s="48">
        <v>9.5</v>
      </c>
      <c r="K19" s="48">
        <f>SUM(G19:J19)</f>
        <v>25</v>
      </c>
      <c r="L19" s="48">
        <f>+((C19+D19+E19+F19)-(G19+H19+I19+J19))*-1</f>
        <v>0</v>
      </c>
      <c r="M19" s="48"/>
    </row>
    <row r="20" customHeight="1" spans="1:13">
      <c r="A20" s="29" t="s">
        <v>220</v>
      </c>
      <c r="B20" s="33">
        <f>SUM(C20:F20)</f>
        <v>25</v>
      </c>
      <c r="C20" s="34">
        <v>5</v>
      </c>
      <c r="D20" s="34">
        <v>5</v>
      </c>
      <c r="E20" s="34">
        <v>10</v>
      </c>
      <c r="F20" s="34">
        <v>5</v>
      </c>
      <c r="G20" s="48">
        <v>4</v>
      </c>
      <c r="H20" s="48">
        <v>5</v>
      </c>
      <c r="I20" s="48"/>
      <c r="J20" s="48"/>
      <c r="K20" s="48"/>
      <c r="L20" s="48"/>
      <c r="M20" s="48"/>
    </row>
    <row r="21" spans="1:13">
      <c r="A21" s="29" t="s">
        <v>141</v>
      </c>
      <c r="B21" s="33">
        <f>SUM(C21:F21)</f>
        <v>25</v>
      </c>
      <c r="C21" s="34">
        <v>7</v>
      </c>
      <c r="D21" s="34">
        <v>5</v>
      </c>
      <c r="E21" s="34">
        <v>5</v>
      </c>
      <c r="F21" s="34">
        <v>8</v>
      </c>
      <c r="G21" s="48">
        <v>2.5</v>
      </c>
      <c r="H21" s="48">
        <v>11</v>
      </c>
      <c r="I21" s="48">
        <v>5.5</v>
      </c>
      <c r="J21" s="48">
        <v>9</v>
      </c>
      <c r="K21" s="48">
        <f>SUM(G21:J21)</f>
        <v>28</v>
      </c>
      <c r="L21" s="48">
        <f>+((C21+D21+E21+F21)-(G21+H21+I21+J21))*-1</f>
        <v>3</v>
      </c>
      <c r="M21" s="48"/>
    </row>
    <row r="22" spans="1:13">
      <c r="A22" s="51" t="s">
        <v>167</v>
      </c>
      <c r="B22" s="33">
        <f>SUM(C22:F22)</f>
        <v>25</v>
      </c>
      <c r="C22" s="34">
        <v>5</v>
      </c>
      <c r="D22" s="34">
        <v>5</v>
      </c>
      <c r="E22" s="34">
        <v>7</v>
      </c>
      <c r="F22" s="34">
        <v>8</v>
      </c>
      <c r="G22" s="48">
        <v>1.5</v>
      </c>
      <c r="H22" s="48">
        <v>4.5</v>
      </c>
      <c r="I22" s="48">
        <v>4</v>
      </c>
      <c r="J22" s="48"/>
      <c r="K22" s="48">
        <f>SUM(G22:J22)</f>
        <v>10</v>
      </c>
      <c r="L22" s="48">
        <f>+((C22+D22+E22+F22)-(G22+H22+I22+J22))*-1</f>
        <v>-15</v>
      </c>
      <c r="M22" s="48"/>
    </row>
    <row r="23" spans="1:13">
      <c r="A23" s="53" t="s">
        <v>38</v>
      </c>
      <c r="B23" s="33">
        <f>SUM(C23:F23)</f>
        <v>50</v>
      </c>
      <c r="C23" s="34">
        <v>10</v>
      </c>
      <c r="D23" s="34">
        <v>10</v>
      </c>
      <c r="E23" s="34">
        <v>10</v>
      </c>
      <c r="F23" s="34">
        <v>20</v>
      </c>
      <c r="G23" s="38"/>
      <c r="H23" s="35"/>
      <c r="I23" s="35">
        <v>1.5</v>
      </c>
      <c r="J23" s="35"/>
      <c r="K23" s="48">
        <f>SUM(G23:J23)</f>
        <v>1.5</v>
      </c>
      <c r="L23" s="48">
        <f>+((C23+D23+E23+F23)-(G23+H23+I23+J23))*-1</f>
        <v>-48.5</v>
      </c>
      <c r="M23" s="35"/>
    </row>
    <row r="24" spans="1:13">
      <c r="A24" s="128" t="s">
        <v>39</v>
      </c>
      <c r="B24" s="33">
        <f>SUM(C24:F24)</f>
        <v>350</v>
      </c>
      <c r="C24" s="41">
        <f t="shared" ref="C24:J24" si="4">SUM(C11:C23)</f>
        <v>77</v>
      </c>
      <c r="D24" s="41">
        <f>SUM(D11:D23)</f>
        <v>83</v>
      </c>
      <c r="E24" s="41">
        <f>SUM(E11:E23)</f>
        <v>91</v>
      </c>
      <c r="F24" s="41">
        <f>SUM(F11:F23)</f>
        <v>99</v>
      </c>
      <c r="G24" s="41">
        <f>SUM(G11:G23)</f>
        <v>55</v>
      </c>
      <c r="H24" s="41">
        <f>SUM(H11:H23)</f>
        <v>117.5</v>
      </c>
      <c r="I24" s="41">
        <f>SUM(I11:I23)</f>
        <v>21.5</v>
      </c>
      <c r="J24" s="41">
        <f>SUM(J11:J23)</f>
        <v>54</v>
      </c>
      <c r="K24" s="78">
        <f>SUM(G24:J24)</f>
        <v>248</v>
      </c>
      <c r="L24" s="48">
        <f>+((C24+D24+E24+F24)-(G24+H24+I24+J24))*-1</f>
        <v>-102</v>
      </c>
      <c r="M24" s="41">
        <f>SUM(M12:M23)</f>
        <v>0</v>
      </c>
    </row>
    <row r="25" spans="1:15">
      <c r="A25" s="42" t="s">
        <v>40</v>
      </c>
      <c r="B25" s="43"/>
      <c r="C25" s="44" t="s">
        <v>14</v>
      </c>
      <c r="D25" s="45"/>
      <c r="E25" s="45"/>
      <c r="F25" s="46"/>
      <c r="G25" s="44" t="s">
        <v>15</v>
      </c>
      <c r="H25" s="45"/>
      <c r="I25" s="45"/>
      <c r="J25" s="46"/>
      <c r="K25" s="83"/>
      <c r="L25" s="84"/>
      <c r="M25" s="84"/>
      <c r="N25" s="111"/>
      <c r="O25" s="90"/>
    </row>
    <row r="26" ht="25.5" spans="1:15">
      <c r="A26" s="47" t="s">
        <v>16</v>
      </c>
      <c r="B26" s="47" t="s">
        <v>17</v>
      </c>
      <c r="C26" s="47" t="s">
        <v>152</v>
      </c>
      <c r="D26" s="47" t="s">
        <v>154</v>
      </c>
      <c r="E26" s="47" t="s">
        <v>123</v>
      </c>
      <c r="F26" s="47" t="s">
        <v>131</v>
      </c>
      <c r="G26" s="47" t="s">
        <v>152</v>
      </c>
      <c r="H26" s="47" t="s">
        <v>153</v>
      </c>
      <c r="I26" s="47" t="s">
        <v>123</v>
      </c>
      <c r="J26" s="47" t="s">
        <v>131</v>
      </c>
      <c r="K26" s="47" t="s">
        <v>22</v>
      </c>
      <c r="L26" s="47" t="s">
        <v>41</v>
      </c>
      <c r="M26" s="47" t="s">
        <v>42</v>
      </c>
      <c r="N26" s="89"/>
      <c r="O26" s="90"/>
    </row>
    <row r="27" spans="1:15">
      <c r="A27" s="29" t="s">
        <v>221</v>
      </c>
      <c r="B27" s="48">
        <f>SUM(C27:F27)</f>
        <v>21</v>
      </c>
      <c r="C27" s="35">
        <v>4</v>
      </c>
      <c r="D27" s="34">
        <v>6</v>
      </c>
      <c r="E27" s="34">
        <v>5</v>
      </c>
      <c r="F27" s="34">
        <v>6</v>
      </c>
      <c r="G27" s="49">
        <f>(90150+58810+85000+174300+23600+21900+14400+19900+21100+8600)/100000</f>
        <v>5.1776</v>
      </c>
      <c r="H27" s="50">
        <f>(23000+8700+7800+20000+11200+60900+18910+23300+5550+86500+37350+20400+19500+47700+1300+30100+5000)/100000</f>
        <v>4.2721</v>
      </c>
      <c r="I27" s="50">
        <f>(16300+19900+21400+17200+29050+9800+40450+17378+19450+20700+34250+19800+16700+17600)/100000</f>
        <v>2.99978</v>
      </c>
      <c r="J27" s="50">
        <f>(44600+112340+23300+33500+7500+19000+16300+24100+58900+9300+1500+25700+20600+19900+25200+33040+14650)/100000</f>
        <v>4.8943</v>
      </c>
      <c r="K27" s="50">
        <f t="shared" ref="K27:K38" si="5">SUM(G27:J27)</f>
        <v>17.34378</v>
      </c>
      <c r="L27" s="50">
        <f>+((C27+D27+E27+F27)-(G27+H27+I27+J27))*-1</f>
        <v>-3.65622</v>
      </c>
      <c r="M27" s="91">
        <f>+K27/B27</f>
        <v>0.825894285714286</v>
      </c>
      <c r="N27" s="89"/>
      <c r="O27" s="90"/>
    </row>
    <row r="28" spans="1:15">
      <c r="A28" s="29" t="s">
        <v>222</v>
      </c>
      <c r="B28" s="48">
        <f t="shared" ref="B28:B38" si="6">SUM(C28:F28)</f>
        <v>21</v>
      </c>
      <c r="C28" s="35">
        <v>4</v>
      </c>
      <c r="D28" s="34">
        <v>5</v>
      </c>
      <c r="E28" s="34">
        <v>5</v>
      </c>
      <c r="F28" s="34">
        <v>7</v>
      </c>
      <c r="G28" s="129">
        <f>(5600+25650+6800+8800+12438+74600+32941+55100+35420+10200+6500+42800+5970)/100000</f>
        <v>3.22819</v>
      </c>
      <c r="H28" s="130">
        <f>(48400+14200+82000+29700+47720+11900+4560+26600+87750+33840+119800+6700+16000+12600)/100000</f>
        <v>5.4177</v>
      </c>
      <c r="I28" s="50">
        <f>(50000+9400+30100+13050+72300+17300+32700+31000+60250+20350+65350+17900+2300)/100000</f>
        <v>4.22</v>
      </c>
      <c r="J28" s="134">
        <f>(66000+68320+13750+37600+26300+35250+10250+11100+16250+15700+19090)/100000</f>
        <v>3.1961</v>
      </c>
      <c r="K28" s="50">
        <f>SUM(G28:J28)</f>
        <v>16.06199</v>
      </c>
      <c r="L28" s="50">
        <f t="shared" ref="L28:L38" si="7">+((C28+D28+E28+F28)-(G28+H28+I28+J28))*-1</f>
        <v>-4.93801</v>
      </c>
      <c r="M28" s="91">
        <f t="shared" ref="M28:M38" si="8">+K28/B28</f>
        <v>0.764856666666667</v>
      </c>
      <c r="N28" s="92"/>
      <c r="O28" s="93"/>
    </row>
    <row r="29" spans="1:15">
      <c r="A29" s="29" t="s">
        <v>223</v>
      </c>
      <c r="B29" s="48">
        <f>SUM(C29:F29)</f>
        <v>12.5</v>
      </c>
      <c r="C29" s="34">
        <v>3</v>
      </c>
      <c r="D29" s="34">
        <v>3</v>
      </c>
      <c r="E29" s="34">
        <v>3</v>
      </c>
      <c r="F29" s="34">
        <v>3.5</v>
      </c>
      <c r="G29" s="129">
        <f>(42000+24950+27100+151720+28700+21200+55750)/100000</f>
        <v>3.5142</v>
      </c>
      <c r="H29" s="50">
        <f>(155659+32600+34900+30200+16300+71500+12200)/100000</f>
        <v>3.53359</v>
      </c>
      <c r="I29" s="50">
        <f>(41500+86400+23200+14200+50600+15500)/100000</f>
        <v>2.314</v>
      </c>
      <c r="J29" s="134">
        <f>(94700+39100+16800+19800+117400+98000)/100000</f>
        <v>3.858</v>
      </c>
      <c r="K29" s="50">
        <f>SUM(G29:J29)</f>
        <v>13.21979</v>
      </c>
      <c r="L29" s="50">
        <f>+((C29+D29+E29+F29)-(G29+H29+I29+J29))*-1</f>
        <v>0.71979</v>
      </c>
      <c r="M29" s="91">
        <f>+K29/B29</f>
        <v>1.0575832</v>
      </c>
      <c r="N29" s="92"/>
      <c r="O29" s="93"/>
    </row>
    <row r="30" spans="1:15">
      <c r="A30" s="29" t="s">
        <v>29</v>
      </c>
      <c r="B30" s="48">
        <f>SUM(C30:F30)</f>
        <v>4</v>
      </c>
      <c r="C30" s="34">
        <v>1</v>
      </c>
      <c r="D30" s="34">
        <v>1</v>
      </c>
      <c r="E30" s="34">
        <v>1</v>
      </c>
      <c r="F30" s="34">
        <v>1</v>
      </c>
      <c r="G30" s="129">
        <f>(5000+8000+5400+6000+3000+15000)/100000</f>
        <v>0.424</v>
      </c>
      <c r="H30" s="50">
        <f>(48000+9000+15400)/100000</f>
        <v>0.724</v>
      </c>
      <c r="I30" s="50">
        <f>(15800+57500+5000)/100000</f>
        <v>0.783</v>
      </c>
      <c r="J30" s="134">
        <f>(53400+5000+8000+10000+27000)/100000</f>
        <v>1.034</v>
      </c>
      <c r="K30" s="50">
        <f>SUM(G30:J30)</f>
        <v>2.965</v>
      </c>
      <c r="L30" s="50">
        <f>+((C30+D30+E30+F30)-(G30+H30+I30+J30))*-1</f>
        <v>-1.035</v>
      </c>
      <c r="M30" s="91">
        <f>+K30/B30</f>
        <v>0.74125</v>
      </c>
      <c r="N30" s="92"/>
      <c r="O30" s="93"/>
    </row>
    <row r="31" spans="1:15">
      <c r="A31" s="51" t="s">
        <v>196</v>
      </c>
      <c r="B31" s="48">
        <f>SUM(C31:F31)</f>
        <v>13</v>
      </c>
      <c r="C31" s="35">
        <v>2.5</v>
      </c>
      <c r="D31" s="52">
        <v>3.5</v>
      </c>
      <c r="E31" s="52">
        <v>3</v>
      </c>
      <c r="F31" s="52">
        <v>4</v>
      </c>
      <c r="G31" s="129">
        <f>(13000+26000+35400+37650+48200+39100+32600)/100000</f>
        <v>2.3195</v>
      </c>
      <c r="H31" s="50">
        <f>(33150+46180+27100+43700+57800+44250+49500)/100000</f>
        <v>3.0168</v>
      </c>
      <c r="I31" s="50">
        <f>(44200+42800+29600+33690+42800+26500)/100000</f>
        <v>2.1959</v>
      </c>
      <c r="J31" s="134">
        <f>(44900+64450+43300+44500+31250+56379)/100000</f>
        <v>2.84779</v>
      </c>
      <c r="K31" s="50">
        <f>SUM(G31:J31)</f>
        <v>10.37999</v>
      </c>
      <c r="L31" s="50">
        <f>+((C31+D31+E31+F31)-(G31+H31+I31+J31))*-1</f>
        <v>-2.62001</v>
      </c>
      <c r="M31" s="91">
        <f>+K31/B31</f>
        <v>0.798460769230769</v>
      </c>
      <c r="N31" s="94"/>
      <c r="O31" s="95"/>
    </row>
    <row r="32" spans="1:15">
      <c r="A32" s="51" t="s">
        <v>197</v>
      </c>
      <c r="B32" s="48">
        <f>SUM(C32:F32)</f>
        <v>15</v>
      </c>
      <c r="C32" s="35">
        <v>3.5</v>
      </c>
      <c r="D32" s="52">
        <v>3.5</v>
      </c>
      <c r="E32" s="52">
        <v>4</v>
      </c>
      <c r="F32" s="52">
        <v>4</v>
      </c>
      <c r="G32" s="129">
        <f>(33200+41600+44750+60500+32800+27800+28500)/100000</f>
        <v>2.6915</v>
      </c>
      <c r="H32" s="50">
        <f>(42200+32950+40700+33100+10000+1000+68500+1000+31470+24500)/100000</f>
        <v>2.8542</v>
      </c>
      <c r="I32" s="50">
        <f>(58900+10000+42250+50100+49220+49600+72740)/100000</f>
        <v>3.3281</v>
      </c>
      <c r="J32" s="134">
        <f>(69150+24600+45150+24520+38250+43900)/100000</f>
        <v>2.4557</v>
      </c>
      <c r="K32" s="50">
        <f>SUM(G32:J32)</f>
        <v>11.3295</v>
      </c>
      <c r="L32" s="50">
        <f>+((C32+D32+E32+F32)-(G32+H32+I32+J32))*-1</f>
        <v>-3.6705</v>
      </c>
      <c r="M32" s="91">
        <f>+K32/B32</f>
        <v>0.7553</v>
      </c>
      <c r="N32" s="92"/>
      <c r="O32" s="93"/>
    </row>
    <row r="33" spans="1:15">
      <c r="A33" s="51" t="s">
        <v>198</v>
      </c>
      <c r="B33" s="48">
        <f>SUM(C33:F33)</f>
        <v>8.5</v>
      </c>
      <c r="C33" s="35">
        <v>2</v>
      </c>
      <c r="D33" s="52">
        <v>2.5</v>
      </c>
      <c r="E33" s="52">
        <v>1.75</v>
      </c>
      <c r="F33" s="52">
        <v>2.25</v>
      </c>
      <c r="G33" s="129">
        <f>(30800+19600+38500+41500+24300+22000+38600+20400+5400+5600+5600+6100+11000+3300)/100000</f>
        <v>2.727</v>
      </c>
      <c r="H33" s="50">
        <f>(28400+14900+63680+43500+30900+8000+33000+1500+62800+23500+1700)/100000</f>
        <v>3.1188</v>
      </c>
      <c r="I33" s="50">
        <f>(44600+16500+39100+25100+25800+26600+1700)/100000</f>
        <v>1.794</v>
      </c>
      <c r="J33" s="134">
        <f>(32700+55200+10200+42910+34000+16500+36200+200)/100000</f>
        <v>2.2791</v>
      </c>
      <c r="K33" s="50">
        <f>SUM(G33:J33)</f>
        <v>9.9189</v>
      </c>
      <c r="L33" s="50">
        <f>+((C33+D33+E33+F33)-(G33+H33+I33+J33))*-1</f>
        <v>1.4189</v>
      </c>
      <c r="M33" s="91">
        <f>+K33/B33</f>
        <v>1.16692941176471</v>
      </c>
      <c r="N33" s="92"/>
      <c r="O33" s="93"/>
    </row>
    <row r="34" spans="1:15">
      <c r="A34" s="51" t="s">
        <v>199</v>
      </c>
      <c r="B34" s="48">
        <f>SUM(C34:F34)</f>
        <v>8.5</v>
      </c>
      <c r="C34" s="35">
        <v>2</v>
      </c>
      <c r="D34" s="52">
        <v>2.5</v>
      </c>
      <c r="E34" s="52">
        <v>2</v>
      </c>
      <c r="F34" s="52">
        <v>2</v>
      </c>
      <c r="G34" s="129">
        <f>(13370+14370+15600+16900+70200+43600+10400+1400+2000+600)/100000</f>
        <v>1.8844</v>
      </c>
      <c r="H34" s="50">
        <f>(33300+46600+20800+13700+5000+12000+14660+200+13900)/100000</f>
        <v>1.6016</v>
      </c>
      <c r="I34" s="50">
        <f>(35600+67100+75400+23700+20200+59500)/100000</f>
        <v>2.815</v>
      </c>
      <c r="J34" s="134">
        <f>(79000+23500+17100+11900+400+12900+62800)/100000</f>
        <v>2.076</v>
      </c>
      <c r="K34" s="50">
        <f>SUM(G34:J34)</f>
        <v>8.377</v>
      </c>
      <c r="L34" s="50">
        <f>+((C34+D34+E34+F34)-(G34+H34+I34+J34))*-1</f>
        <v>-0.122999999999999</v>
      </c>
      <c r="M34" s="91">
        <f>+K34/B34</f>
        <v>0.985529411764706</v>
      </c>
      <c r="N34" s="92"/>
      <c r="O34" s="93"/>
    </row>
    <row r="35" spans="1:15">
      <c r="A35" s="51" t="s">
        <v>200</v>
      </c>
      <c r="B35" s="48">
        <f>SUM(C35:F35)</f>
        <v>9</v>
      </c>
      <c r="C35" s="35">
        <v>2</v>
      </c>
      <c r="D35" s="52">
        <v>2</v>
      </c>
      <c r="E35" s="52">
        <v>2.5</v>
      </c>
      <c r="F35" s="52">
        <v>2.5</v>
      </c>
      <c r="G35" s="129">
        <f>(11800+10100+43900+31000+29200+16800+18700+1000+19000)/100000</f>
        <v>1.815</v>
      </c>
      <c r="H35" s="50">
        <f>(14600+25000+15200+40600+13100+50500+22950)/100000</f>
        <v>1.8195</v>
      </c>
      <c r="I35" s="50">
        <f>(63600+38240+98200+13900+15900+32600)/100000</f>
        <v>2.6244</v>
      </c>
      <c r="J35" s="134">
        <f>(30700+18500+21800+15400+22000+16700)/100000</f>
        <v>1.251</v>
      </c>
      <c r="K35" s="50">
        <f>SUM(G35:J35)</f>
        <v>7.5099</v>
      </c>
      <c r="L35" s="50">
        <f>+((C35+D35+E35+F35)-(G35+H35+I35+J35))*-1</f>
        <v>-1.4901</v>
      </c>
      <c r="M35" s="91">
        <f>+K35/B35</f>
        <v>0.834433333333333</v>
      </c>
      <c r="N35" s="92"/>
      <c r="O35" s="93"/>
    </row>
    <row r="36" spans="1:15">
      <c r="A36" s="53" t="s">
        <v>35</v>
      </c>
      <c r="B36" s="48">
        <f>SUM(C36:F36)</f>
        <v>6</v>
      </c>
      <c r="C36" s="35">
        <v>1.5</v>
      </c>
      <c r="D36" s="52">
        <v>1.5</v>
      </c>
      <c r="E36" s="52">
        <v>1</v>
      </c>
      <c r="F36" s="52">
        <v>2</v>
      </c>
      <c r="G36" s="129">
        <f>(13980)/100000</f>
        <v>0.1398</v>
      </c>
      <c r="H36" s="50">
        <f>(90200)/100000</f>
        <v>0.902</v>
      </c>
      <c r="I36" s="50">
        <f>(131800)/100000</f>
        <v>1.318</v>
      </c>
      <c r="J36" s="134">
        <f>(147150)/100000</f>
        <v>1.4715</v>
      </c>
      <c r="K36" s="50">
        <f>SUM(G36:J36)</f>
        <v>3.8313</v>
      </c>
      <c r="L36" s="50">
        <f>+((C36+D36+E36+F36)-(G36+H36+I36+J36))*-1</f>
        <v>-2.1687</v>
      </c>
      <c r="M36" s="91">
        <f>+K36/B36</f>
        <v>0.63855</v>
      </c>
      <c r="N36" s="92"/>
      <c r="O36" s="93"/>
    </row>
    <row r="37" spans="1:15">
      <c r="A37" s="53" t="s">
        <v>38</v>
      </c>
      <c r="B37" s="48">
        <f>SUM(C37:F37)</f>
        <v>26</v>
      </c>
      <c r="C37" s="35">
        <v>6</v>
      </c>
      <c r="D37" s="52">
        <v>5</v>
      </c>
      <c r="E37" s="52">
        <v>7</v>
      </c>
      <c r="F37" s="52">
        <v>8</v>
      </c>
      <c r="G37" s="129">
        <f>(118810+50130+30200+78200+70900+119842+28555+5400+2000+111000)/100000</f>
        <v>6.15037</v>
      </c>
      <c r="H37" s="50">
        <f>(131600+79500+57455+400+37550+1400+49000+13740+50665)/100000</f>
        <v>4.2131</v>
      </c>
      <c r="I37" s="50">
        <f>(29055+103460+60095+25000+48325+114490+23000+9060+4400+57600)/100000</f>
        <v>4.74485</v>
      </c>
      <c r="J37" s="134">
        <f>(25400+10200+97550+128700+50800+17000+158943+5100+470150+22000+23550)/100000</f>
        <v>10.09393</v>
      </c>
      <c r="K37" s="50">
        <f>SUM(G37:J37)</f>
        <v>25.20225</v>
      </c>
      <c r="L37" s="50">
        <f>+((C37+D37+E37+F37)-(G37+H37+I37+J37))*-1</f>
        <v>-0.797750000000001</v>
      </c>
      <c r="M37" s="91">
        <f>+K37/B37</f>
        <v>0.969317307692308</v>
      </c>
      <c r="N37" s="92"/>
      <c r="O37" s="93"/>
    </row>
    <row r="38" spans="1:15">
      <c r="A38" s="54" t="s">
        <v>44</v>
      </c>
      <c r="B38" s="48">
        <f>SUM(C38:F38)</f>
        <v>144.5</v>
      </c>
      <c r="C38" s="35">
        <f t="shared" ref="C38:J38" si="9">SUM(C27:C37)</f>
        <v>31.5</v>
      </c>
      <c r="D38" s="48">
        <f>SUM(D27:D37)</f>
        <v>35.5</v>
      </c>
      <c r="E38" s="48">
        <f>SUM(E27:E37)</f>
        <v>35.25</v>
      </c>
      <c r="F38" s="48">
        <f>SUM(F27:F37)</f>
        <v>42.25</v>
      </c>
      <c r="G38" s="131">
        <f>SUM(G27:G37)</f>
        <v>30.07156</v>
      </c>
      <c r="H38" s="50">
        <f>SUM(H27:H37)</f>
        <v>31.47339</v>
      </c>
      <c r="I38" s="50">
        <f>SUM(I27:I37)</f>
        <v>29.13703</v>
      </c>
      <c r="J38" s="134">
        <f>SUM(J27:J37)</f>
        <v>35.45742</v>
      </c>
      <c r="K38" s="135">
        <f>SUM(G38:J38)</f>
        <v>126.1394</v>
      </c>
      <c r="L38" s="50">
        <f>+((C38+D38+E38+F38)-(G38+H38+I38+J38))*-1</f>
        <v>-18.3606</v>
      </c>
      <c r="M38" s="91">
        <f>+K38/B38</f>
        <v>0.872937024221453</v>
      </c>
      <c r="N38" s="92"/>
      <c r="O38" s="93"/>
    </row>
    <row r="39" spans="1:15">
      <c r="A39" s="55"/>
      <c r="B39" s="56"/>
      <c r="C39" s="57"/>
      <c r="N39" s="94"/>
      <c r="O39" s="95"/>
    </row>
    <row r="40" spans="14:15">
      <c r="N40" s="92"/>
      <c r="O40" s="93"/>
    </row>
    <row r="41" spans="14:15">
      <c r="N41" s="92"/>
      <c r="O41" s="93"/>
    </row>
    <row r="42" spans="2:15">
      <c r="B42" s="1"/>
      <c r="N42" s="92"/>
      <c r="O42" s="93"/>
    </row>
    <row r="43" spans="2:15">
      <c r="B43" s="1"/>
      <c r="N43" s="92"/>
      <c r="O43" s="93"/>
    </row>
    <row r="44" spans="2:15">
      <c r="B44" s="1"/>
      <c r="N44" s="92"/>
      <c r="O44" s="93"/>
    </row>
    <row r="45" spans="2:15">
      <c r="B45" s="1"/>
      <c r="N45" s="92"/>
      <c r="O45" s="93"/>
    </row>
    <row r="46" spans="2:15">
      <c r="B46" s="1"/>
      <c r="N46" s="92"/>
      <c r="O46" s="93"/>
    </row>
    <row r="47" spans="2:15">
      <c r="B47" s="1"/>
      <c r="N47" s="92"/>
      <c r="O47" s="93"/>
    </row>
    <row r="48" spans="2:15">
      <c r="B48" s="1"/>
      <c r="N48" s="92"/>
      <c r="O48" s="93"/>
    </row>
    <row r="49" spans="2:15">
      <c r="B49" s="1"/>
      <c r="N49" s="94"/>
      <c r="O49" s="95"/>
    </row>
    <row r="50" spans="2:15">
      <c r="B50" s="1"/>
      <c r="N50" s="92"/>
      <c r="O50" s="93"/>
    </row>
    <row r="51" spans="2:15">
      <c r="B51" s="1"/>
      <c r="N51" s="92"/>
      <c r="O51" s="93"/>
    </row>
    <row r="52" spans="2:15">
      <c r="B52" s="1"/>
      <c r="N52" s="92"/>
      <c r="O52" s="93"/>
    </row>
    <row r="53" spans="2:15">
      <c r="B53" s="1"/>
      <c r="N53" s="92"/>
      <c r="O53" s="93"/>
    </row>
    <row r="54" spans="2:15">
      <c r="B54" s="1"/>
      <c r="N54" s="92"/>
      <c r="O54" s="93"/>
    </row>
    <row r="55" spans="2:15">
      <c r="B55" s="1"/>
      <c r="N55" s="92"/>
      <c r="O55" s="93"/>
    </row>
    <row r="56" spans="2:15">
      <c r="B56" s="1"/>
      <c r="N56" s="92"/>
      <c r="O56" s="93"/>
    </row>
    <row r="57" spans="2:15">
      <c r="B57" s="1"/>
      <c r="N57" s="94"/>
      <c r="O57" s="95"/>
    </row>
    <row r="58" spans="2:15">
      <c r="B58" s="1"/>
      <c r="N58" s="92"/>
      <c r="O58" s="93"/>
    </row>
    <row r="59" spans="2:15">
      <c r="B59" s="1"/>
      <c r="N59" s="92"/>
      <c r="O59" s="93"/>
    </row>
    <row r="60" spans="2:15">
      <c r="B60" s="1"/>
      <c r="N60" s="92"/>
      <c r="O60" s="93"/>
    </row>
    <row r="61" spans="2:15">
      <c r="B61" s="1"/>
      <c r="N61" s="92"/>
      <c r="O61" s="93"/>
    </row>
    <row r="62" spans="2:15">
      <c r="B62" s="1"/>
      <c r="N62" s="92"/>
      <c r="O62" s="93"/>
    </row>
    <row r="63" spans="2:15">
      <c r="B63" s="1"/>
      <c r="N63" s="92"/>
      <c r="O63" s="93"/>
    </row>
    <row r="64" spans="2:15">
      <c r="B64" s="1"/>
      <c r="N64" s="92"/>
      <c r="O64" s="93"/>
    </row>
    <row r="65" spans="2:15">
      <c r="B65" s="1"/>
      <c r="N65" s="92"/>
      <c r="O65" s="96"/>
    </row>
  </sheetData>
  <mergeCells count="6">
    <mergeCell ref="B1:M1"/>
    <mergeCell ref="D8:F8"/>
    <mergeCell ref="C9:F9"/>
    <mergeCell ref="G9:J9"/>
    <mergeCell ref="C25:F25"/>
    <mergeCell ref="G25:J25"/>
  </mergeCells>
  <pageMargins left="0.699305555555556" right="0.699305555555556" top="0.75" bottom="0.75" header="0.3" footer="0.3"/>
  <pageSetup paperSize="9" orientation="portrait" verticalDpi="300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61"/>
  <sheetViews>
    <sheetView topLeftCell="A17" workbookViewId="0">
      <selection activeCell="A1" sqref="A1:M34"/>
    </sheetView>
  </sheetViews>
  <sheetFormatPr defaultColWidth="9" defaultRowHeight="15"/>
  <cols>
    <col min="1" max="1" width="17.4285714285714" style="1" customWidth="1"/>
    <col min="2" max="2" width="9" style="2" customWidth="1"/>
    <col min="3" max="3" width="8.42857142857143" style="1" customWidth="1"/>
    <col min="4" max="4" width="8.57142857142857" style="1" customWidth="1"/>
    <col min="5" max="5" width="8.28571428571429" style="1" customWidth="1"/>
    <col min="6" max="6" width="8.71428571428571" style="1" customWidth="1"/>
    <col min="7" max="7" width="8.28571428571429" style="1" customWidth="1"/>
    <col min="8" max="8" width="8.85714285714286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ht="13.5" customHeight="1" spans="1:13">
      <c r="A1" s="3">
        <v>41275</v>
      </c>
      <c r="B1" s="119" t="s">
        <v>224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spans="1:13">
      <c r="A2" s="6" t="s">
        <v>2</v>
      </c>
      <c r="B2" s="7">
        <f>+K20</f>
        <v>143.5</v>
      </c>
      <c r="C2" s="8"/>
      <c r="D2" s="8"/>
      <c r="E2" s="8"/>
      <c r="F2" s="8"/>
      <c r="G2" s="9"/>
      <c r="H2" s="10"/>
      <c r="I2" s="59"/>
      <c r="J2" s="10"/>
      <c r="K2" s="10"/>
      <c r="L2" s="10"/>
      <c r="M2" s="104"/>
    </row>
    <row r="3" ht="12" customHeight="1" spans="1:13">
      <c r="A3" s="6" t="s">
        <v>3</v>
      </c>
      <c r="B3" s="7">
        <f>+M20</f>
        <v>0</v>
      </c>
      <c r="C3" s="8"/>
      <c r="D3" s="8"/>
      <c r="E3" s="8"/>
      <c r="F3" s="8"/>
      <c r="G3" s="9"/>
      <c r="H3" s="10"/>
      <c r="I3" s="10"/>
      <c r="J3" s="10"/>
      <c r="K3" s="10"/>
      <c r="L3" s="61"/>
      <c r="M3" s="105"/>
    </row>
    <row r="4" spans="1:13">
      <c r="A4" s="6" t="s">
        <v>225</v>
      </c>
      <c r="B4" s="11"/>
      <c r="C4" s="12"/>
      <c r="D4" s="13" t="s">
        <v>5</v>
      </c>
      <c r="E4" s="12">
        <v>11.5</v>
      </c>
      <c r="F4" s="12"/>
      <c r="G4" s="14" t="s">
        <v>78</v>
      </c>
      <c r="H4" s="15"/>
      <c r="I4" s="62" t="s">
        <v>7</v>
      </c>
      <c r="J4" s="13">
        <f>+K34</f>
        <v>129.21233</v>
      </c>
      <c r="K4" s="12" t="s">
        <v>8</v>
      </c>
      <c r="L4" s="12" t="s">
        <v>85</v>
      </c>
      <c r="M4" s="106">
        <v>6</v>
      </c>
    </row>
    <row r="5" spans="1:13">
      <c r="A5" s="16" t="s">
        <v>10</v>
      </c>
      <c r="B5" s="17" t="s">
        <v>226</v>
      </c>
      <c r="C5" s="18" t="s">
        <v>227</v>
      </c>
      <c r="D5" s="19">
        <v>16628000</v>
      </c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2.5" customHeight="1" spans="1:13">
      <c r="A7" s="25" t="s">
        <v>16</v>
      </c>
      <c r="B7" s="25" t="s">
        <v>17</v>
      </c>
      <c r="C7" s="25" t="s">
        <v>228</v>
      </c>
      <c r="D7" s="25" t="s">
        <v>229</v>
      </c>
      <c r="E7" s="25" t="s">
        <v>230</v>
      </c>
      <c r="F7" s="25" t="s">
        <v>231</v>
      </c>
      <c r="G7" s="25" t="s">
        <v>228</v>
      </c>
      <c r="H7" s="25" t="s">
        <v>232</v>
      </c>
      <c r="I7" s="25" t="s">
        <v>233</v>
      </c>
      <c r="J7" s="25" t="s">
        <v>234</v>
      </c>
      <c r="K7" s="25" t="s">
        <v>22</v>
      </c>
      <c r="L7" s="25" t="s">
        <v>23</v>
      </c>
      <c r="M7" s="25" t="s">
        <v>24</v>
      </c>
    </row>
    <row r="8" spans="1:13">
      <c r="A8" s="123" t="s">
        <v>215</v>
      </c>
      <c r="B8" s="33">
        <f>SUM(C8:F8)</f>
        <v>25</v>
      </c>
      <c r="C8" s="33">
        <v>5</v>
      </c>
      <c r="D8" s="33">
        <v>5</v>
      </c>
      <c r="E8" s="33">
        <v>7</v>
      </c>
      <c r="F8" s="33">
        <v>8</v>
      </c>
      <c r="G8" s="33">
        <v>4</v>
      </c>
      <c r="H8" s="33"/>
      <c r="I8" s="33"/>
      <c r="J8" s="33"/>
      <c r="K8" s="33">
        <f>SUM(G8:J8)</f>
        <v>4</v>
      </c>
      <c r="L8" s="48">
        <f>+((C8+D8+E8+F8)-(G8+H8+I8+J8))*-1</f>
        <v>-21</v>
      </c>
      <c r="M8" s="33"/>
    </row>
    <row r="9" spans="1:13">
      <c r="A9" s="29" t="s">
        <v>216</v>
      </c>
      <c r="B9" s="33">
        <f t="shared" ref="B9:B20" si="0">SUM(C9:F9)</f>
        <v>25</v>
      </c>
      <c r="C9" s="34">
        <v>5</v>
      </c>
      <c r="D9" s="34">
        <v>7</v>
      </c>
      <c r="E9" s="34">
        <v>7</v>
      </c>
      <c r="F9" s="34">
        <v>6</v>
      </c>
      <c r="G9" s="48"/>
      <c r="H9" s="48">
        <v>1</v>
      </c>
      <c r="I9" s="48"/>
      <c r="J9" s="48"/>
      <c r="K9" s="48">
        <f t="shared" ref="K9:K20" si="1">SUM(G9:J9)</f>
        <v>1</v>
      </c>
      <c r="L9" s="48">
        <f t="shared" ref="L9:L20" si="2">+((C9+D9+E9+F9)-(G9+H9+I9+J9))*-1</f>
        <v>-24</v>
      </c>
      <c r="M9" s="48"/>
    </row>
    <row r="10" spans="1:13">
      <c r="A10" s="29" t="s">
        <v>26</v>
      </c>
      <c r="B10" s="33">
        <f>SUM(C10:F10)</f>
        <v>25</v>
      </c>
      <c r="C10" s="34">
        <v>7</v>
      </c>
      <c r="D10" s="34">
        <v>7</v>
      </c>
      <c r="E10" s="34">
        <v>5</v>
      </c>
      <c r="F10" s="34">
        <v>6</v>
      </c>
      <c r="G10" s="48">
        <v>1</v>
      </c>
      <c r="H10" s="48">
        <v>11.5</v>
      </c>
      <c r="I10" s="48">
        <v>3.5</v>
      </c>
      <c r="J10" s="48">
        <v>9</v>
      </c>
      <c r="K10" s="48">
        <f>SUM(G10:J10)</f>
        <v>25</v>
      </c>
      <c r="L10" s="48">
        <f>+((C10+D10+E10+F10)-(G10+H10+I10+J10))*-1</f>
        <v>0</v>
      </c>
      <c r="M10" s="48"/>
    </row>
    <row r="11" spans="1:17">
      <c r="A11" s="29" t="s">
        <v>27</v>
      </c>
      <c r="B11" s="33">
        <f>SUM(C11:F11)</f>
        <v>25</v>
      </c>
      <c r="C11" s="34">
        <v>5</v>
      </c>
      <c r="D11" s="34">
        <v>8</v>
      </c>
      <c r="E11" s="34">
        <v>5</v>
      </c>
      <c r="F11" s="34">
        <v>7</v>
      </c>
      <c r="G11" s="48">
        <v>3</v>
      </c>
      <c r="H11" s="48"/>
      <c r="I11" s="48">
        <v>3</v>
      </c>
      <c r="J11" s="48">
        <v>23</v>
      </c>
      <c r="K11" s="48">
        <f>SUM(G11:J11)</f>
        <v>29</v>
      </c>
      <c r="L11" s="48">
        <f>+((C11+D11+E11+F11)-(G11+H11+I11+J11))*-1</f>
        <v>4</v>
      </c>
      <c r="M11" s="48"/>
      <c r="Q11"/>
    </row>
    <row r="12" spans="1:13">
      <c r="A12" s="29" t="s">
        <v>217</v>
      </c>
      <c r="B12" s="33">
        <f>SUM(C12:F12)</f>
        <v>25</v>
      </c>
      <c r="C12" s="34">
        <v>5</v>
      </c>
      <c r="D12" s="34">
        <v>5</v>
      </c>
      <c r="E12" s="34">
        <v>7</v>
      </c>
      <c r="F12" s="34">
        <v>8</v>
      </c>
      <c r="G12" s="48">
        <v>3.5</v>
      </c>
      <c r="H12" s="48"/>
      <c r="I12" s="48">
        <v>5</v>
      </c>
      <c r="J12" s="124"/>
      <c r="K12" s="48">
        <f>SUM(G12:J12)</f>
        <v>8.5</v>
      </c>
      <c r="L12" s="48">
        <f>+((C12+D12+E12+F12)-(G12+H12+I12+J12))*-1</f>
        <v>-16.5</v>
      </c>
      <c r="M12" s="48"/>
    </row>
    <row r="13" spans="1:13">
      <c r="A13" s="118" t="s">
        <v>218</v>
      </c>
      <c r="B13" s="33">
        <f>SUM(C13:F13)</f>
        <v>0</v>
      </c>
      <c r="C13" s="34">
        <v>0</v>
      </c>
      <c r="D13" s="34">
        <v>0</v>
      </c>
      <c r="E13" s="34">
        <v>0</v>
      </c>
      <c r="F13" s="34">
        <v>0</v>
      </c>
      <c r="G13" s="48">
        <v>1</v>
      </c>
      <c r="H13" s="48"/>
      <c r="I13" s="48"/>
      <c r="K13" s="48">
        <f>SUM(G13:J13)</f>
        <v>1</v>
      </c>
      <c r="L13" s="48">
        <f>+((C13+D13+E13+F13)-(G13+H13+I13+J13))*-1</f>
        <v>1</v>
      </c>
      <c r="M13" s="48"/>
    </row>
    <row r="14" spans="1:13">
      <c r="A14" s="114" t="s">
        <v>219</v>
      </c>
      <c r="B14" s="33">
        <f>SUM(C14:F14)</f>
        <v>25</v>
      </c>
      <c r="C14" s="34">
        <v>5</v>
      </c>
      <c r="D14" s="34">
        <v>8</v>
      </c>
      <c r="E14" s="34">
        <v>7</v>
      </c>
      <c r="F14" s="34">
        <v>5</v>
      </c>
      <c r="G14" s="48">
        <v>2</v>
      </c>
      <c r="H14" s="48"/>
      <c r="I14" s="48">
        <v>1</v>
      </c>
      <c r="J14" s="48"/>
      <c r="K14" s="48">
        <f>SUM(G14:J14)</f>
        <v>3</v>
      </c>
      <c r="L14" s="48">
        <f>+((C14+D14+E14+F14)-(G14+H14+I14+J14))*-1</f>
        <v>-22</v>
      </c>
      <c r="M14" s="48"/>
    </row>
    <row r="15" spans="1:13">
      <c r="A15" s="114" t="s">
        <v>87</v>
      </c>
      <c r="B15" s="33">
        <f>SUM(C15:F15)</f>
        <v>25</v>
      </c>
      <c r="C15" s="34">
        <v>5</v>
      </c>
      <c r="D15" s="34">
        <v>8</v>
      </c>
      <c r="E15" s="34">
        <v>7</v>
      </c>
      <c r="F15" s="34">
        <v>5</v>
      </c>
      <c r="G15" s="48"/>
      <c r="H15" s="48">
        <v>1</v>
      </c>
      <c r="I15" s="48">
        <v>4.5</v>
      </c>
      <c r="J15" s="48">
        <v>14</v>
      </c>
      <c r="K15" s="48">
        <f>SUM(G15:J15)</f>
        <v>19.5</v>
      </c>
      <c r="L15" s="48">
        <f>+((C15+D15+E15+F15)-(G15+H15+I15+J15))*-1</f>
        <v>-5.5</v>
      </c>
      <c r="M15" s="48"/>
    </row>
    <row r="16" ht="15.75" customHeight="1" spans="1:13">
      <c r="A16" s="114" t="s">
        <v>166</v>
      </c>
      <c r="B16" s="33">
        <f>SUM(C16:F16)</f>
        <v>25</v>
      </c>
      <c r="C16" s="34">
        <v>8</v>
      </c>
      <c r="D16" s="34">
        <v>5</v>
      </c>
      <c r="E16" s="34">
        <v>7</v>
      </c>
      <c r="F16" s="34">
        <v>5</v>
      </c>
      <c r="G16" s="48">
        <v>1</v>
      </c>
      <c r="H16" s="48">
        <v>3</v>
      </c>
      <c r="I16" s="48">
        <v>0</v>
      </c>
      <c r="J16" s="48">
        <v>21.5</v>
      </c>
      <c r="K16" s="48">
        <f>SUM(G16:J16)</f>
        <v>25.5</v>
      </c>
      <c r="L16" s="48">
        <f>+((C16+D16+E16+F16)-(G16+H16+I16+J16))*-1</f>
        <v>0.5</v>
      </c>
      <c r="M16" s="48"/>
    </row>
    <row r="17" spans="1:13">
      <c r="A17" s="114" t="s">
        <v>141</v>
      </c>
      <c r="B17" s="33">
        <f>SUM(C17:F17)</f>
        <v>25</v>
      </c>
      <c r="C17" s="34">
        <v>7</v>
      </c>
      <c r="D17" s="34">
        <v>5</v>
      </c>
      <c r="E17" s="34">
        <v>5</v>
      </c>
      <c r="F17" s="34">
        <v>8</v>
      </c>
      <c r="G17" s="48">
        <v>2</v>
      </c>
      <c r="H17" s="48"/>
      <c r="I17" s="48"/>
      <c r="J17" s="48">
        <v>1.5</v>
      </c>
      <c r="K17" s="48">
        <f>SUM(G17:J17)</f>
        <v>3.5</v>
      </c>
      <c r="L17" s="48">
        <f>+((C17+D17+E17+F17)-(G17+H17+I17+J17))*-1</f>
        <v>-21.5</v>
      </c>
      <c r="M17" s="48"/>
    </row>
    <row r="18" spans="1:13">
      <c r="A18" s="114" t="s">
        <v>167</v>
      </c>
      <c r="B18" s="33">
        <f>SUM(C18:F18)</f>
        <v>25</v>
      </c>
      <c r="C18" s="34">
        <v>5</v>
      </c>
      <c r="D18" s="34">
        <v>5</v>
      </c>
      <c r="E18" s="34">
        <v>7</v>
      </c>
      <c r="F18" s="34">
        <v>8</v>
      </c>
      <c r="G18" s="48"/>
      <c r="H18" s="48"/>
      <c r="I18" s="48"/>
      <c r="J18" s="48">
        <v>5</v>
      </c>
      <c r="K18" s="48">
        <f>SUM(G18:J18)</f>
        <v>5</v>
      </c>
      <c r="L18" s="48">
        <f>+((C18+D18+E18+F18)-(G18+H18+I18+J18))*-1</f>
        <v>-20</v>
      </c>
      <c r="M18" s="48"/>
    </row>
    <row r="19" spans="1:13">
      <c r="A19" s="115" t="s">
        <v>38</v>
      </c>
      <c r="B19" s="33">
        <f>SUM(C19:F19)</f>
        <v>50</v>
      </c>
      <c r="C19" s="34">
        <v>10</v>
      </c>
      <c r="D19" s="34">
        <v>10</v>
      </c>
      <c r="E19" s="34">
        <v>10</v>
      </c>
      <c r="F19" s="34">
        <v>20</v>
      </c>
      <c r="G19" s="38">
        <v>9</v>
      </c>
      <c r="H19" s="35">
        <v>2</v>
      </c>
      <c r="I19" s="35">
        <v>5.5</v>
      </c>
      <c r="J19" s="35">
        <v>2</v>
      </c>
      <c r="K19" s="48">
        <f>SUM(G19:J19)</f>
        <v>18.5</v>
      </c>
      <c r="L19" s="48">
        <f>+((C19+D19+E19+F19)-(G19+H19+I19+J19))*-1</f>
        <v>-31.5</v>
      </c>
      <c r="M19" s="35"/>
    </row>
    <row r="20" spans="1:13">
      <c r="A20" s="117" t="s">
        <v>161</v>
      </c>
      <c r="B20" s="33">
        <f>SUM(C20:F20)</f>
        <v>300</v>
      </c>
      <c r="C20" s="41">
        <f t="shared" ref="C20:J20" si="3">SUM(C8:C19)</f>
        <v>67</v>
      </c>
      <c r="D20" s="41">
        <f>SUM(D8:D19)</f>
        <v>73</v>
      </c>
      <c r="E20" s="41">
        <f>SUM(E8:E19)</f>
        <v>74</v>
      </c>
      <c r="F20" s="41">
        <f>SUM(F8:F19)</f>
        <v>86</v>
      </c>
      <c r="G20" s="41">
        <f>SUM(G8:G19)</f>
        <v>26.5</v>
      </c>
      <c r="H20" s="41">
        <f>SUM(H8:H19)</f>
        <v>18.5</v>
      </c>
      <c r="I20" s="41">
        <f>SUM(I8:I19)</f>
        <v>22.5</v>
      </c>
      <c r="J20" s="41">
        <f>SUM(J8:J19)</f>
        <v>76</v>
      </c>
      <c r="K20" s="78">
        <f>SUM(G20:J20)</f>
        <v>143.5</v>
      </c>
      <c r="L20" s="48">
        <f>+((C20+D20+E20+F20)-(G20+H20+I20+J20))*-1</f>
        <v>-156.5</v>
      </c>
      <c r="M20" s="41">
        <f>SUM(M9:M19)</f>
        <v>0</v>
      </c>
    </row>
    <row r="21" ht="11.25" customHeight="1" spans="1:15">
      <c r="A21" s="42" t="s">
        <v>40</v>
      </c>
      <c r="B21" s="43"/>
      <c r="C21" s="44" t="s">
        <v>14</v>
      </c>
      <c r="D21" s="45"/>
      <c r="E21" s="45"/>
      <c r="F21" s="46"/>
      <c r="G21" s="44">
        <v>6</v>
      </c>
      <c r="H21" s="45"/>
      <c r="I21" s="45"/>
      <c r="J21" s="46"/>
      <c r="K21" s="83"/>
      <c r="L21" s="84"/>
      <c r="M21" s="84"/>
      <c r="N21" s="111"/>
      <c r="O21" s="90"/>
    </row>
    <row r="22" ht="21.75" customHeight="1" spans="1:15">
      <c r="A22" s="47" t="s">
        <v>16</v>
      </c>
      <c r="B22" s="47" t="s">
        <v>17</v>
      </c>
      <c r="C22" s="47" t="s">
        <v>228</v>
      </c>
      <c r="D22" s="47" t="s">
        <v>232</v>
      </c>
      <c r="E22" s="47" t="s">
        <v>230</v>
      </c>
      <c r="F22" s="47" t="s">
        <v>234</v>
      </c>
      <c r="G22" s="47" t="s">
        <v>228</v>
      </c>
      <c r="H22" s="47" t="s">
        <v>235</v>
      </c>
      <c r="I22" s="47" t="s">
        <v>230</v>
      </c>
      <c r="J22" s="47" t="s">
        <v>236</v>
      </c>
      <c r="K22" s="47" t="s">
        <v>22</v>
      </c>
      <c r="L22" s="47" t="s">
        <v>41</v>
      </c>
      <c r="M22" s="47" t="s">
        <v>42</v>
      </c>
      <c r="N22" s="89"/>
      <c r="O22" s="90"/>
    </row>
    <row r="23" spans="1:15">
      <c r="A23" s="29" t="s">
        <v>221</v>
      </c>
      <c r="B23" s="48">
        <f>SUM(C23:F23)</f>
        <v>17</v>
      </c>
      <c r="C23" s="35">
        <v>3</v>
      </c>
      <c r="D23" s="34">
        <v>4</v>
      </c>
      <c r="E23" s="34">
        <v>4.5</v>
      </c>
      <c r="F23" s="34">
        <v>5.5</v>
      </c>
      <c r="G23" s="49">
        <f>(22100+6000+29117+23300+6100+39200+3600+24600+106300+46900+10800+22000+5600+22500)/100000</f>
        <v>3.68117</v>
      </c>
      <c r="H23" s="50">
        <f>+(22700+50000+58360+22300+13700+16700+13950+39636+44600+20600+39100+15400+30500+17000+35000)/100000</f>
        <v>4.39546</v>
      </c>
      <c r="I23" s="50">
        <f>(16700+22500+23800+22500+8000+15200+18900+23600+14200+13800+22400+35000+15100+141200)/100000</f>
        <v>3.929</v>
      </c>
      <c r="J23" s="76">
        <f>(33100+5000+1600+83750+4700+23800+19400+21700+16900+20300)/100000</f>
        <v>2.3025</v>
      </c>
      <c r="K23" s="76">
        <f>SUM(G23:J23)</f>
        <v>14.30813</v>
      </c>
      <c r="L23" s="50">
        <f>+((C23+D23+E23+F23)-(G23+H23+I23+J23))*-1</f>
        <v>-2.69187</v>
      </c>
      <c r="M23" s="91">
        <f>+K23/B23</f>
        <v>0.841654705882353</v>
      </c>
      <c r="N23" s="89"/>
      <c r="O23" s="90"/>
    </row>
    <row r="24" spans="1:15">
      <c r="A24" s="29" t="s">
        <v>237</v>
      </c>
      <c r="B24" s="48">
        <f>SUM(C24:F24)</f>
        <v>12.5</v>
      </c>
      <c r="C24" s="35">
        <v>3</v>
      </c>
      <c r="D24" s="34">
        <v>3</v>
      </c>
      <c r="E24" s="34">
        <v>3</v>
      </c>
      <c r="F24" s="34">
        <v>3.5</v>
      </c>
      <c r="G24" s="49">
        <f>(56180+8850+51400+32900+17200+21900+69800+3100)/100000</f>
        <v>2.6133</v>
      </c>
      <c r="H24" s="50">
        <f>(132700+23850+20200+17300+60000+30000+16550+8800+65750+40300+44940+29100)/100000</f>
        <v>4.8949</v>
      </c>
      <c r="I24" s="50">
        <f>(43600+19349+24800+14050+31320+17550+20450+62900+101900)/100000</f>
        <v>3.35919</v>
      </c>
      <c r="J24" s="50">
        <f>(4400+10700+12240+31000+5560+10300+10550+8000)/100000</f>
        <v>0.9275</v>
      </c>
      <c r="K24" s="50">
        <f t="shared" ref="K24:K33" si="4">SUM(G24:J24)</f>
        <v>11.79489</v>
      </c>
      <c r="L24" s="50">
        <f t="shared" ref="L24:L34" si="5">+((C24+D24+E24+F24)-(G24+H24+I24+J24))*-1</f>
        <v>-0.705109999999999</v>
      </c>
      <c r="M24" s="91">
        <f t="shared" ref="M24:M34" si="6">+K24/B24</f>
        <v>0.9435912</v>
      </c>
      <c r="N24" s="89"/>
      <c r="O24" s="90"/>
    </row>
    <row r="25" ht="11.25" customHeight="1" spans="1:15">
      <c r="A25" s="29" t="s">
        <v>222</v>
      </c>
      <c r="B25" s="48">
        <f t="shared" ref="B25:B34" si="7">SUM(C25:F25)</f>
        <v>14.75</v>
      </c>
      <c r="C25" s="35">
        <v>3</v>
      </c>
      <c r="D25" s="34">
        <v>3.5</v>
      </c>
      <c r="E25" s="34">
        <v>4</v>
      </c>
      <c r="F25" s="34">
        <v>4.25</v>
      </c>
      <c r="G25" s="49">
        <f>(70000+700+58100+41800+11000+16700+32800)/100000</f>
        <v>2.311</v>
      </c>
      <c r="H25" s="50">
        <f>(22400+7900+11350+20000+39000+32300+2650+65750+40000+1500)/100000</f>
        <v>2.4285</v>
      </c>
      <c r="I25" s="50">
        <f>(40600+10000+1400+25900+19700+12300+62800+50000+38800)/100000</f>
        <v>2.615</v>
      </c>
      <c r="J25" s="50">
        <f>(24300+20000+59580+40000+24350+17500)/100000</f>
        <v>1.8573</v>
      </c>
      <c r="K25" s="50">
        <f>SUM(G25:J25)</f>
        <v>9.2118</v>
      </c>
      <c r="L25" s="50">
        <f>+((C25+D25+E25+F25)-(G25+H25+I25+J25))*-1</f>
        <v>-5.5382</v>
      </c>
      <c r="M25" s="91">
        <f>+K25/B25</f>
        <v>0.624528813559322</v>
      </c>
      <c r="N25" s="92"/>
      <c r="O25" s="93"/>
    </row>
    <row r="26" ht="11.25" customHeight="1" spans="1:15">
      <c r="A26" s="29" t="s">
        <v>223</v>
      </c>
      <c r="B26" s="48">
        <f>SUM(C26:F26)</f>
        <v>12.5</v>
      </c>
      <c r="C26" s="34">
        <v>2.5</v>
      </c>
      <c r="D26" s="34">
        <v>3</v>
      </c>
      <c r="E26" s="34">
        <v>3</v>
      </c>
      <c r="F26" s="34">
        <v>4</v>
      </c>
      <c r="G26" s="49">
        <f>(15200+22500+14600+179545+44900+16400+24300)/100000</f>
        <v>3.17445</v>
      </c>
      <c r="H26" s="50">
        <f>(60800+13800+45400+20400+15800+30850+34500)/100000</f>
        <v>2.2155</v>
      </c>
      <c r="I26" s="50">
        <f>(30700+49800+66420+25600+40100+35000+92650)/100000</f>
        <v>3.4027</v>
      </c>
      <c r="J26" s="50">
        <f>(54800+25100+65000+183900+38300)/100000</f>
        <v>3.671</v>
      </c>
      <c r="K26" s="50">
        <f>SUM(G26:J26)</f>
        <v>12.46365</v>
      </c>
      <c r="L26" s="50">
        <f>+((C26+D26+E26+F26)-(G26+H26+I26+J26))*-1</f>
        <v>-0.0363500000000005</v>
      </c>
      <c r="M26" s="91">
        <f>+K26/B26</f>
        <v>0.997092</v>
      </c>
      <c r="N26" s="92"/>
      <c r="O26" s="93"/>
    </row>
    <row r="27" ht="10.5" customHeight="1" spans="1:15">
      <c r="A27" s="29" t="s">
        <v>29</v>
      </c>
      <c r="B27" s="48">
        <f>SUM(C27:F27)</f>
        <v>3.75</v>
      </c>
      <c r="C27" s="34">
        <v>0.75</v>
      </c>
      <c r="D27" s="34">
        <v>1</v>
      </c>
      <c r="E27" s="34">
        <v>1</v>
      </c>
      <c r="F27" s="34">
        <v>1</v>
      </c>
      <c r="G27" s="49">
        <f>(8800+18000+35400+54000)/100000</f>
        <v>1.162</v>
      </c>
      <c r="H27" s="50">
        <f>(11600+3000)/100000</f>
        <v>0.146</v>
      </c>
      <c r="I27" s="50">
        <f>(18200+53000+18400)/100000</f>
        <v>0.896</v>
      </c>
      <c r="J27" s="50">
        <f>(13800+21600+5000)/100000</f>
        <v>0.404</v>
      </c>
      <c r="K27" s="50">
        <f>SUM(G27:J27)</f>
        <v>2.608</v>
      </c>
      <c r="L27" s="50">
        <f>+((C27+D27+E27+F27)-(G27+H27+I27+J27))*-1</f>
        <v>-1.142</v>
      </c>
      <c r="M27" s="91">
        <f>+K27/B27</f>
        <v>0.695466666666667</v>
      </c>
      <c r="N27" s="92"/>
      <c r="O27" s="93"/>
    </row>
    <row r="28" ht="11.25" customHeight="1" spans="1:15">
      <c r="A28" s="51" t="s">
        <v>196</v>
      </c>
      <c r="B28" s="48">
        <f>SUM(C28:F28)</f>
        <v>12</v>
      </c>
      <c r="C28" s="35">
        <v>2</v>
      </c>
      <c r="D28" s="52">
        <v>3</v>
      </c>
      <c r="E28" s="52">
        <v>3</v>
      </c>
      <c r="F28" s="52">
        <v>4</v>
      </c>
      <c r="G28" s="49">
        <f>(29159+58500+44750+53700+40550+51800+67750+1400)/100000</f>
        <v>3.47609</v>
      </c>
      <c r="H28" s="50">
        <f>(41700+44600+32950+31500+28800+52000+39450)/100000</f>
        <v>2.71</v>
      </c>
      <c r="I28" s="50">
        <f>(40350+58200+54300+33735+52150)/100000</f>
        <v>2.38735</v>
      </c>
      <c r="J28" s="50">
        <f>(53150+50250+85200+25200+54550)/100000</f>
        <v>2.6835</v>
      </c>
      <c r="K28" s="50">
        <f>SUM(G28:J28)</f>
        <v>11.25694</v>
      </c>
      <c r="L28" s="50">
        <f>+((C28+D28+E28+F28)-(G28+H28+I28+J28))*-1</f>
        <v>-0.74306</v>
      </c>
      <c r="M28" s="91">
        <f>+K28/B28</f>
        <v>0.938078333333333</v>
      </c>
      <c r="N28" s="94"/>
      <c r="O28" s="95"/>
    </row>
    <row r="29" ht="11.25" customHeight="1" spans="1:15">
      <c r="A29" s="51" t="s">
        <v>197</v>
      </c>
      <c r="B29" s="48">
        <f>SUM(C29:F29)</f>
        <v>14</v>
      </c>
      <c r="C29" s="35">
        <v>3</v>
      </c>
      <c r="D29" s="52">
        <v>4</v>
      </c>
      <c r="E29" s="52">
        <v>3</v>
      </c>
      <c r="F29" s="52">
        <v>4</v>
      </c>
      <c r="G29" s="49">
        <f>(54600+64000+28900+119950+52200+37600+43700+6000+8000+7200+1200+20000)/100000</f>
        <v>4.4335</v>
      </c>
      <c r="H29" s="50">
        <f>(77000+37050+36200+39890+47900+164350+40450)/100000</f>
        <v>4.4284</v>
      </c>
      <c r="I29" s="50">
        <f>(73300+44850+68350+45400+117000)/100000</f>
        <v>3.489</v>
      </c>
      <c r="J29" s="50">
        <f>(38700+53550+32250+50520+61200)/100000</f>
        <v>2.3622</v>
      </c>
      <c r="K29" s="50">
        <f>SUM(G29:J29)</f>
        <v>14.7131</v>
      </c>
      <c r="L29" s="50">
        <f>+((C29+D29+E29+F29)-(G29+H29+I29+J29))*-1</f>
        <v>0.713099999999999</v>
      </c>
      <c r="M29" s="91">
        <f>+K29/B29</f>
        <v>1.05093571428571</v>
      </c>
      <c r="N29" s="92"/>
      <c r="O29" s="93"/>
    </row>
    <row r="30" ht="12.75" customHeight="1" spans="1:15">
      <c r="A30" s="51" t="s">
        <v>198</v>
      </c>
      <c r="B30" s="48">
        <f>SUM(C30:F30)</f>
        <v>13.5</v>
      </c>
      <c r="C30" s="35">
        <v>3</v>
      </c>
      <c r="D30" s="52">
        <v>3.5</v>
      </c>
      <c r="E30" s="52">
        <v>3</v>
      </c>
      <c r="F30" s="52">
        <v>4</v>
      </c>
      <c r="G30" s="49">
        <f>(30900+51900+44020+47400+55800+39500+41800+10322)/100000</f>
        <v>3.21642</v>
      </c>
      <c r="H30" s="50">
        <f>(83400+20500+40000+36200+36800+1700+11800+23900+19900+39800)/100000</f>
        <v>3.14</v>
      </c>
      <c r="I30" s="50">
        <f>(35500+20100+40400+22000+20300+35000+35300)/100000</f>
        <v>2.086</v>
      </c>
      <c r="J30" s="50">
        <f>(58200+4400+8500+30800+27100+14514+11100+27400)/100000</f>
        <v>1.82014</v>
      </c>
      <c r="K30" s="50">
        <f>SUM(G30:J30)</f>
        <v>10.26256</v>
      </c>
      <c r="L30" s="50">
        <f>+((C30+D30+E30+F30)-(G30+H30+I30+J30))*-1</f>
        <v>-3.23744</v>
      </c>
      <c r="M30" s="91">
        <f>+K30/B30</f>
        <v>0.76018962962963</v>
      </c>
      <c r="N30" s="92"/>
      <c r="O30" s="93"/>
    </row>
    <row r="31" ht="12" customHeight="1" spans="1:15">
      <c r="A31" s="51" t="s">
        <v>199</v>
      </c>
      <c r="B31" s="48">
        <f>SUM(C31:F31)</f>
        <v>13</v>
      </c>
      <c r="C31" s="35">
        <v>3</v>
      </c>
      <c r="D31" s="52">
        <v>3</v>
      </c>
      <c r="E31" s="52">
        <v>3</v>
      </c>
      <c r="F31" s="52">
        <v>4</v>
      </c>
      <c r="G31" s="49">
        <f>(35300+24200+1700+25600+124600+16300+57500+5600+7600+7000+10000+37400+20000)/100000</f>
        <v>3.728</v>
      </c>
      <c r="H31" s="50">
        <f>(59500+49040+23850+19000+58400+59400+17600)/100000</f>
        <v>2.8679</v>
      </c>
      <c r="I31" s="50">
        <f>(65300+41500+53400+53200+16345)/100000</f>
        <v>2.29745</v>
      </c>
      <c r="J31" s="50">
        <f>(16400+49100+105300+23900)/100000</f>
        <v>1.947</v>
      </c>
      <c r="K31" s="50">
        <f>SUM(G31:J31)</f>
        <v>10.84035</v>
      </c>
      <c r="L31" s="50">
        <f>+((C31+D31+E31+F31)-(G31+H31+I31+J31))*-1</f>
        <v>-2.15965</v>
      </c>
      <c r="M31" s="91">
        <f>+K31/B31</f>
        <v>0.833873076923077</v>
      </c>
      <c r="N31" s="92"/>
      <c r="O31" s="93"/>
    </row>
    <row r="32" ht="12" customHeight="1" spans="1:15">
      <c r="A32" s="53" t="s">
        <v>35</v>
      </c>
      <c r="B32" s="48">
        <f>SUM(C32:F32)</f>
        <v>5</v>
      </c>
      <c r="C32" s="35">
        <v>1</v>
      </c>
      <c r="D32" s="52">
        <v>1</v>
      </c>
      <c r="E32" s="52">
        <v>1</v>
      </c>
      <c r="F32" s="52">
        <v>2</v>
      </c>
      <c r="G32" s="49">
        <f>(29220)/100000</f>
        <v>0.2922</v>
      </c>
      <c r="H32" s="50">
        <f>(266400+24930)/100000</f>
        <v>2.9133</v>
      </c>
      <c r="I32" s="50">
        <f>(13200+140700)/100000</f>
        <v>1.539</v>
      </c>
      <c r="J32" s="50">
        <f>(13200+13800)/100000</f>
        <v>0.27</v>
      </c>
      <c r="K32" s="50">
        <f>SUM(G32:J32)</f>
        <v>5.0145</v>
      </c>
      <c r="L32" s="50">
        <f>+((C32+D32+E32+F32)-(G32+H32+I32+J32))*-1</f>
        <v>0.0145</v>
      </c>
      <c r="M32" s="91">
        <f>+K32/B32</f>
        <v>1.0029</v>
      </c>
      <c r="N32" s="92"/>
      <c r="O32" s="93"/>
    </row>
    <row r="33" ht="10.5" customHeight="1" spans="1:15">
      <c r="A33" s="53" t="s">
        <v>38</v>
      </c>
      <c r="B33" s="48">
        <f>SUM(C33:F33)</f>
        <v>25</v>
      </c>
      <c r="C33" s="35">
        <v>5</v>
      </c>
      <c r="D33" s="52">
        <v>6</v>
      </c>
      <c r="E33" s="52">
        <v>6</v>
      </c>
      <c r="F33" s="52">
        <v>8</v>
      </c>
      <c r="G33" s="49">
        <f>(57235+29445+35200+61500+509235+233400+4600+4400+1000+20200+27800)/100000</f>
        <v>9.84015</v>
      </c>
      <c r="H33" s="50">
        <f>(58300+52910+22100+82251+30200+52535+47750+15300+19600+27800+13405)/100000</f>
        <v>4.22151</v>
      </c>
      <c r="I33" s="50">
        <f>(264000+21715+24600+19186+47325+91140+13200+47325+100000+191000+123560+1005)/100000</f>
        <v>9.44056</v>
      </c>
      <c r="J33" s="50">
        <f>(58835+34780+41861+32000+91138+65005)/100000</f>
        <v>3.23619</v>
      </c>
      <c r="K33" s="50">
        <f>SUM(G33:J33)</f>
        <v>26.73841</v>
      </c>
      <c r="L33" s="50">
        <f>+((C33+D33+E33+F33)-(G33+H33+I33+J33))*-1</f>
        <v>1.73841</v>
      </c>
      <c r="M33" s="91">
        <f>+K33/B33</f>
        <v>1.0695364</v>
      </c>
      <c r="N33" s="92"/>
      <c r="O33" s="93"/>
    </row>
    <row r="34" ht="12.75" customHeight="1" spans="1:15">
      <c r="A34" s="54" t="s">
        <v>44</v>
      </c>
      <c r="B34" s="48">
        <f>SUM(C34:F34)</f>
        <v>143</v>
      </c>
      <c r="C34" s="35">
        <f t="shared" ref="C34:K34" si="8">SUM(C23:C33)</f>
        <v>29.25</v>
      </c>
      <c r="D34" s="48">
        <f>SUM(D23:D33)</f>
        <v>35</v>
      </c>
      <c r="E34" s="48">
        <f>SUM(E23:E33)</f>
        <v>34.5</v>
      </c>
      <c r="F34" s="48">
        <f>SUM(F23:F33)</f>
        <v>44.25</v>
      </c>
      <c r="G34" s="49">
        <f>SUM(G23:G33)</f>
        <v>37.92828</v>
      </c>
      <c r="H34" s="50">
        <f>SUM(H23:H33)</f>
        <v>34.36147</v>
      </c>
      <c r="I34" s="50">
        <f>SUM(I23:I33)</f>
        <v>35.44125</v>
      </c>
      <c r="J34" s="50">
        <f>SUM(J23:J33)</f>
        <v>21.48133</v>
      </c>
      <c r="K34" s="122">
        <f>SUM(K23:K33)</f>
        <v>129.21233</v>
      </c>
      <c r="L34" s="50">
        <f>+((C34+D34+E34+F34)-(G34+H34+I34+J34))*-1</f>
        <v>-13.78767</v>
      </c>
      <c r="M34" s="91">
        <f>+K34/B34</f>
        <v>0.903582727272727</v>
      </c>
      <c r="N34" s="92"/>
      <c r="O34" s="93"/>
    </row>
    <row r="35" spans="1:15">
      <c r="A35" s="55"/>
      <c r="B35" s="56"/>
      <c r="C35" s="57"/>
      <c r="N35" s="94"/>
      <c r="O35" s="95"/>
    </row>
    <row r="36" spans="14:15">
      <c r="N36" s="92"/>
      <c r="O36" s="93"/>
    </row>
    <row r="37" spans="14:15">
      <c r="N37" s="92"/>
      <c r="O37" s="93"/>
    </row>
    <row r="38" spans="2:15">
      <c r="B38" s="1"/>
      <c r="N38" s="92"/>
      <c r="O38" s="93"/>
    </row>
    <row r="39" spans="2:15">
      <c r="B39" s="1"/>
      <c r="N39" s="92"/>
      <c r="O39" s="93"/>
    </row>
    <row r="40" spans="2:15">
      <c r="B40" s="1"/>
      <c r="N40" s="92"/>
      <c r="O40" s="93"/>
    </row>
    <row r="41" spans="2:15">
      <c r="B41" s="1"/>
      <c r="N41" s="92"/>
      <c r="O41" s="93"/>
    </row>
    <row r="42" spans="2:15">
      <c r="B42" s="1"/>
      <c r="N42" s="92"/>
      <c r="O42" s="93"/>
    </row>
    <row r="43" spans="2:15">
      <c r="B43" s="1"/>
      <c r="N43" s="92"/>
      <c r="O43" s="93"/>
    </row>
    <row r="44" spans="2:15">
      <c r="B44" s="1"/>
      <c r="N44" s="92"/>
      <c r="O44" s="93"/>
    </row>
    <row r="45" spans="2:15">
      <c r="B45" s="1"/>
      <c r="N45" s="94"/>
      <c r="O45" s="95"/>
    </row>
    <row r="46" spans="2:15">
      <c r="B46" s="1"/>
      <c r="N46" s="92"/>
      <c r="O46" s="93"/>
    </row>
    <row r="47" spans="2:15">
      <c r="B47" s="1"/>
      <c r="N47" s="92"/>
      <c r="O47" s="93"/>
    </row>
    <row r="48" spans="2:15">
      <c r="B48" s="1"/>
      <c r="N48" s="92"/>
      <c r="O48" s="93"/>
    </row>
    <row r="49" spans="2:15">
      <c r="B49" s="1"/>
      <c r="N49" s="92"/>
      <c r="O49" s="93"/>
    </row>
    <row r="50" spans="2:15">
      <c r="B50" s="1"/>
      <c r="N50" s="92"/>
      <c r="O50" s="93"/>
    </row>
    <row r="51" spans="2:15">
      <c r="B51" s="1"/>
      <c r="N51" s="92"/>
      <c r="O51" s="93"/>
    </row>
    <row r="52" spans="2:15">
      <c r="B52" s="1"/>
      <c r="N52" s="92"/>
      <c r="O52" s="93"/>
    </row>
    <row r="53" spans="2:15">
      <c r="B53" s="1"/>
      <c r="N53" s="94"/>
      <c r="O53" s="95"/>
    </row>
    <row r="54" spans="2:15">
      <c r="B54" s="1"/>
      <c r="N54" s="92"/>
      <c r="O54" s="93"/>
    </row>
    <row r="55" spans="2:15">
      <c r="B55" s="1"/>
      <c r="N55" s="92"/>
      <c r="O55" s="93"/>
    </row>
    <row r="56" spans="2:15">
      <c r="B56" s="1"/>
      <c r="N56" s="92"/>
      <c r="O56" s="93"/>
    </row>
    <row r="57" spans="2:15">
      <c r="B57" s="1"/>
      <c r="N57" s="92"/>
      <c r="O57" s="93"/>
    </row>
    <row r="58" spans="2:15">
      <c r="B58" s="1"/>
      <c r="N58" s="92"/>
      <c r="O58" s="93"/>
    </row>
    <row r="59" spans="2:15">
      <c r="B59" s="1"/>
      <c r="N59" s="92"/>
      <c r="O59" s="93"/>
    </row>
    <row r="60" spans="2:15">
      <c r="B60" s="1"/>
      <c r="N60" s="92"/>
      <c r="O60" s="93"/>
    </row>
    <row r="61" spans="2:15">
      <c r="B61" s="1"/>
      <c r="N61" s="92"/>
      <c r="O61" s="96"/>
    </row>
  </sheetData>
  <mergeCells count="6">
    <mergeCell ref="B1:M1"/>
    <mergeCell ref="D5:F5"/>
    <mergeCell ref="C6:F6"/>
    <mergeCell ref="G6:J6"/>
    <mergeCell ref="C21:F21"/>
    <mergeCell ref="G21:J21"/>
  </mergeCells>
  <pageMargins left="0.699305555555556" right="0.699305555555556" top="0.75" bottom="0.75" header="0.3" footer="0.3"/>
  <pageSetup paperSize="9" orientation="landscape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58"/>
  <sheetViews>
    <sheetView topLeftCell="A16" workbookViewId="0">
      <selection activeCell="A1" sqref="A1:M32"/>
    </sheetView>
  </sheetViews>
  <sheetFormatPr defaultColWidth="9" defaultRowHeight="15"/>
  <cols>
    <col min="1" max="1" width="17.4285714285714" style="1" customWidth="1"/>
    <col min="2" max="2" width="9" style="2" customWidth="1"/>
    <col min="3" max="3" width="8.42857142857143" style="1" customWidth="1"/>
    <col min="4" max="4" width="8.57142857142857" style="1" customWidth="1"/>
    <col min="5" max="5" width="8.28571428571429" style="1" customWidth="1"/>
    <col min="6" max="6" width="8.71428571428571" style="1" customWidth="1"/>
    <col min="7" max="7" width="8.28571428571429" style="1" customWidth="1"/>
    <col min="8" max="8" width="8.85714285714286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ht="13.5" customHeight="1" spans="1:13">
      <c r="A1" s="3" t="s">
        <v>238</v>
      </c>
      <c r="B1" s="119" t="s">
        <v>239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spans="1:13">
      <c r="A2" s="6" t="s">
        <v>2</v>
      </c>
      <c r="B2" s="7">
        <f>+K17</f>
        <v>112</v>
      </c>
      <c r="C2" s="8"/>
      <c r="D2" s="8"/>
      <c r="E2" s="8"/>
      <c r="F2" s="8"/>
      <c r="G2" s="9"/>
      <c r="H2" s="10"/>
      <c r="I2" s="59"/>
      <c r="J2" s="10"/>
      <c r="K2" s="10"/>
      <c r="L2" s="10"/>
      <c r="M2" s="104"/>
    </row>
    <row r="3" ht="12" customHeight="1" spans="1:13">
      <c r="A3" s="6" t="s">
        <v>3</v>
      </c>
      <c r="B3" s="7">
        <f>+M17</f>
        <v>0</v>
      </c>
      <c r="C3" s="8"/>
      <c r="D3" s="8"/>
      <c r="E3" s="8"/>
      <c r="F3" s="8"/>
      <c r="G3" s="9"/>
      <c r="H3" s="10"/>
      <c r="I3" s="10"/>
      <c r="J3" s="10"/>
      <c r="K3" s="10"/>
      <c r="L3" s="61"/>
      <c r="M3" s="105"/>
    </row>
    <row r="4" spans="1:13">
      <c r="A4" s="6" t="s">
        <v>240</v>
      </c>
      <c r="B4" s="11"/>
      <c r="C4" s="12"/>
      <c r="D4" s="13" t="s">
        <v>5</v>
      </c>
      <c r="E4" s="12">
        <v>8.5</v>
      </c>
      <c r="F4" s="12"/>
      <c r="G4" s="14" t="s">
        <v>78</v>
      </c>
      <c r="H4" s="15"/>
      <c r="I4" s="62" t="s">
        <v>7</v>
      </c>
      <c r="J4" s="13">
        <f>+K31</f>
        <v>134.45148</v>
      </c>
      <c r="K4" s="12" t="s">
        <v>8</v>
      </c>
      <c r="L4" s="12" t="s">
        <v>85</v>
      </c>
      <c r="M4" s="106">
        <v>6.5</v>
      </c>
    </row>
    <row r="5" spans="1:13">
      <c r="A5" s="16" t="s">
        <v>10</v>
      </c>
      <c r="B5" s="17" t="s">
        <v>241</v>
      </c>
      <c r="C5" s="18" t="s">
        <v>242</v>
      </c>
      <c r="D5" s="19">
        <v>11484370</v>
      </c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2.5" customHeight="1" spans="1:13">
      <c r="A7" s="25" t="s">
        <v>16</v>
      </c>
      <c r="B7" s="25" t="s">
        <v>17</v>
      </c>
      <c r="C7" s="25" t="s">
        <v>228</v>
      </c>
      <c r="D7" s="25" t="s">
        <v>229</v>
      </c>
      <c r="E7" s="25" t="s">
        <v>230</v>
      </c>
      <c r="F7" s="25" t="s">
        <v>231</v>
      </c>
      <c r="G7" s="25" t="s">
        <v>228</v>
      </c>
      <c r="H7" s="25" t="s">
        <v>232</v>
      </c>
      <c r="I7" s="25" t="s">
        <v>233</v>
      </c>
      <c r="J7" s="25" t="s">
        <v>234</v>
      </c>
      <c r="K7" s="25" t="s">
        <v>22</v>
      </c>
      <c r="L7" s="25" t="s">
        <v>23</v>
      </c>
      <c r="M7" s="25" t="s">
        <v>24</v>
      </c>
    </row>
    <row r="8" spans="1:13">
      <c r="A8" s="29" t="s">
        <v>216</v>
      </c>
      <c r="B8" s="33">
        <f t="shared" ref="B8:B17" si="0">SUM(C8:F8)</f>
        <v>25</v>
      </c>
      <c r="C8" s="34">
        <v>5</v>
      </c>
      <c r="D8" s="34">
        <v>8</v>
      </c>
      <c r="E8" s="34">
        <v>5</v>
      </c>
      <c r="F8" s="34">
        <v>7</v>
      </c>
      <c r="G8" s="48"/>
      <c r="H8" s="48"/>
      <c r="I8" s="48"/>
      <c r="J8" s="48"/>
      <c r="K8" s="48">
        <f t="shared" ref="K8:K17" si="1">SUM(G8:J8)</f>
        <v>0</v>
      </c>
      <c r="L8" s="48">
        <f>+((C8+D8+E8+F8)-(G8+H8+I8+J8))*-1</f>
        <v>-25</v>
      </c>
      <c r="M8" s="48"/>
    </row>
    <row r="9" spans="1:13">
      <c r="A9" s="29" t="s">
        <v>26</v>
      </c>
      <c r="B9" s="33">
        <f>SUM(C9:F9)</f>
        <v>25</v>
      </c>
      <c r="C9" s="34">
        <v>5</v>
      </c>
      <c r="D9" s="34">
        <v>8</v>
      </c>
      <c r="E9" s="34">
        <v>5</v>
      </c>
      <c r="F9" s="34">
        <v>7</v>
      </c>
      <c r="G9" s="48">
        <v>2</v>
      </c>
      <c r="H9" s="48">
        <v>7</v>
      </c>
      <c r="I9" s="48">
        <v>9</v>
      </c>
      <c r="J9" s="48">
        <v>0.5</v>
      </c>
      <c r="K9" s="48">
        <f>SUM(G9:J9)</f>
        <v>18.5</v>
      </c>
      <c r="L9" s="48">
        <f t="shared" ref="L9:L17" si="2">+((C9+D9+E9+F9)-(G9+H9+I9+J9))*-1</f>
        <v>-6.5</v>
      </c>
      <c r="M9" s="48"/>
    </row>
    <row r="10" spans="1:17">
      <c r="A10" s="29" t="s">
        <v>27</v>
      </c>
      <c r="B10" s="33">
        <f>SUM(C10:F10)</f>
        <v>25</v>
      </c>
      <c r="C10" s="34">
        <v>5</v>
      </c>
      <c r="D10" s="34">
        <v>8</v>
      </c>
      <c r="E10" s="34">
        <v>5</v>
      </c>
      <c r="F10" s="34">
        <v>7</v>
      </c>
      <c r="G10" s="48">
        <v>1</v>
      </c>
      <c r="H10" s="48"/>
      <c r="I10" s="48"/>
      <c r="J10" s="48">
        <v>2.5</v>
      </c>
      <c r="K10" s="48">
        <f>SUM(G10:J10)</f>
        <v>3.5</v>
      </c>
      <c r="L10" s="48">
        <f>+((C10+D10+E10+F10)-(G10+H10+I10+J10))*-1</f>
        <v>-21.5</v>
      </c>
      <c r="M10" s="48"/>
      <c r="Q10"/>
    </row>
    <row r="11" spans="1:13">
      <c r="A11" s="114" t="s">
        <v>219</v>
      </c>
      <c r="B11" s="33">
        <f>SUM(C11:F11)</f>
        <v>25</v>
      </c>
      <c r="C11" s="34">
        <v>5</v>
      </c>
      <c r="D11" s="34">
        <v>7</v>
      </c>
      <c r="E11" s="34">
        <v>6</v>
      </c>
      <c r="F11" s="34">
        <v>7</v>
      </c>
      <c r="G11" s="48">
        <v>3</v>
      </c>
      <c r="H11" s="48">
        <v>9.5</v>
      </c>
      <c r="I11" s="48">
        <v>1</v>
      </c>
      <c r="J11" s="48">
        <v>3.5</v>
      </c>
      <c r="K11" s="48">
        <f>SUM(G11:J11)</f>
        <v>17</v>
      </c>
      <c r="L11" s="48">
        <f>+((C11+D11+E11+F11)-(G11+H11+I11+J11))*-1</f>
        <v>-8</v>
      </c>
      <c r="M11" s="48"/>
    </row>
    <row r="12" ht="15.75" customHeight="1" spans="1:13">
      <c r="A12" s="114" t="s">
        <v>166</v>
      </c>
      <c r="B12" s="33">
        <f>SUM(C12:F12)</f>
        <v>25</v>
      </c>
      <c r="C12" s="34">
        <v>5</v>
      </c>
      <c r="D12" s="34">
        <v>7</v>
      </c>
      <c r="E12" s="34">
        <v>6</v>
      </c>
      <c r="F12" s="34">
        <v>7</v>
      </c>
      <c r="G12" s="48">
        <v>5</v>
      </c>
      <c r="H12" s="48">
        <v>3</v>
      </c>
      <c r="I12" s="48"/>
      <c r="J12" s="48"/>
      <c r="K12" s="48">
        <f>SUM(G12:J12)</f>
        <v>8</v>
      </c>
      <c r="L12" s="48">
        <f>+((C12+D12+E12+F12)-(G12+H12+I12+J12))*-1</f>
        <v>-17</v>
      </c>
      <c r="M12" s="48"/>
    </row>
    <row r="13" spans="1:13">
      <c r="A13" s="114" t="s">
        <v>141</v>
      </c>
      <c r="B13" s="33">
        <f>SUM(C13:F13)</f>
        <v>25</v>
      </c>
      <c r="C13" s="34">
        <v>5</v>
      </c>
      <c r="D13" s="34">
        <v>7</v>
      </c>
      <c r="E13" s="34">
        <v>6</v>
      </c>
      <c r="F13" s="34">
        <v>7</v>
      </c>
      <c r="G13" s="48">
        <v>1</v>
      </c>
      <c r="H13" s="48">
        <v>2</v>
      </c>
      <c r="I13" s="48"/>
      <c r="J13" s="48">
        <v>1</v>
      </c>
      <c r="K13" s="48">
        <f>SUM(G13:J13)</f>
        <v>4</v>
      </c>
      <c r="L13" s="48">
        <f>+((C13+D13+E13+F13)-(G13+H13+I13+J13))*-1</f>
        <v>-21</v>
      </c>
      <c r="M13" s="48"/>
    </row>
    <row r="14" spans="1:13">
      <c r="A14" s="114" t="s">
        <v>167</v>
      </c>
      <c r="B14" s="33">
        <f>SUM(C14:F14)</f>
        <v>25</v>
      </c>
      <c r="C14" s="34">
        <v>5</v>
      </c>
      <c r="D14" s="34">
        <v>7</v>
      </c>
      <c r="E14" s="34">
        <v>6</v>
      </c>
      <c r="F14" s="34">
        <v>7</v>
      </c>
      <c r="G14" s="48">
        <v>10</v>
      </c>
      <c r="H14" s="48">
        <v>0.5</v>
      </c>
      <c r="I14" s="48"/>
      <c r="J14" s="48"/>
      <c r="K14" s="48">
        <f>SUM(G14:J14)</f>
        <v>10.5</v>
      </c>
      <c r="L14" s="48">
        <f>+((C14+D14+E14+F14)-(G14+H14+I14+J14))*-1</f>
        <v>-14.5</v>
      </c>
      <c r="M14" s="48"/>
    </row>
    <row r="15" spans="1:13">
      <c r="A15" s="114" t="s">
        <v>243</v>
      </c>
      <c r="B15" s="33">
        <f>SUM(C15:F15)</f>
        <v>35</v>
      </c>
      <c r="C15" s="34">
        <v>5</v>
      </c>
      <c r="D15" s="34">
        <v>5</v>
      </c>
      <c r="E15" s="34">
        <v>10</v>
      </c>
      <c r="F15" s="34">
        <v>15</v>
      </c>
      <c r="G15" s="48">
        <v>5</v>
      </c>
      <c r="H15" s="48">
        <v>4</v>
      </c>
      <c r="I15" s="48">
        <v>5.5</v>
      </c>
      <c r="J15" s="48">
        <v>1</v>
      </c>
      <c r="K15" s="48">
        <f>SUM(G15:J15)</f>
        <v>15.5</v>
      </c>
      <c r="L15" s="48">
        <f>+((C15+D15+E15+F15)-(G15+H15+I15+J15))*-1</f>
        <v>-19.5</v>
      </c>
      <c r="M15" s="48"/>
    </row>
    <row r="16" spans="1:13">
      <c r="A16" s="115" t="s">
        <v>38</v>
      </c>
      <c r="B16" s="33">
        <f>SUM(C16:F16)</f>
        <v>100</v>
      </c>
      <c r="C16" s="34">
        <v>20</v>
      </c>
      <c r="D16" s="34">
        <v>20</v>
      </c>
      <c r="E16" s="34">
        <v>25</v>
      </c>
      <c r="F16" s="34">
        <v>35</v>
      </c>
      <c r="G16" s="38">
        <v>2</v>
      </c>
      <c r="H16" s="35">
        <v>1.5</v>
      </c>
      <c r="I16" s="35">
        <v>4.5</v>
      </c>
      <c r="J16" s="35">
        <v>27</v>
      </c>
      <c r="K16" s="48">
        <f>SUM(G16:J16)</f>
        <v>35</v>
      </c>
      <c r="L16" s="48">
        <f>+((C16+D16+E16+F16)-(G16+H16+I16+J16))*-1</f>
        <v>-65</v>
      </c>
      <c r="M16" s="35"/>
    </row>
    <row r="17" spans="1:13">
      <c r="A17" s="117" t="s">
        <v>161</v>
      </c>
      <c r="B17" s="33">
        <f>SUM(C17:F17)</f>
        <v>310</v>
      </c>
      <c r="C17" s="41">
        <f t="shared" ref="C17:J17" si="3">SUM(C8:C16)</f>
        <v>60</v>
      </c>
      <c r="D17" s="41">
        <f>SUM(D8:D16)</f>
        <v>77</v>
      </c>
      <c r="E17" s="41">
        <f>SUM(E8:E16)</f>
        <v>74</v>
      </c>
      <c r="F17" s="41">
        <f>SUM(F8:F16)</f>
        <v>99</v>
      </c>
      <c r="G17" s="41">
        <f>SUM(G8:G16)</f>
        <v>29</v>
      </c>
      <c r="H17" s="41">
        <f>SUM(H8:H16)</f>
        <v>27.5</v>
      </c>
      <c r="I17" s="41">
        <f>SUM(I8:I16)</f>
        <v>20</v>
      </c>
      <c r="J17" s="41">
        <f>SUM(J8:J16)</f>
        <v>35.5</v>
      </c>
      <c r="K17" s="78">
        <f>SUM(G17:J17)</f>
        <v>112</v>
      </c>
      <c r="L17" s="48">
        <f>+((C17+D17+E17+F17)-(G17+H17+I17+J17))*-1</f>
        <v>-198</v>
      </c>
      <c r="M17" s="41">
        <f>SUM(M8:M16)</f>
        <v>0</v>
      </c>
    </row>
    <row r="18" spans="1:15">
      <c r="A18" s="42" t="s">
        <v>40</v>
      </c>
      <c r="B18" s="43"/>
      <c r="C18" s="44" t="s">
        <v>14</v>
      </c>
      <c r="D18" s="45"/>
      <c r="E18" s="45"/>
      <c r="F18" s="46"/>
      <c r="G18" s="44"/>
      <c r="H18" s="45"/>
      <c r="I18" s="45"/>
      <c r="J18" s="46"/>
      <c r="K18" s="83"/>
      <c r="L18" s="84"/>
      <c r="M18" s="84"/>
      <c r="N18" s="111"/>
      <c r="O18" s="90"/>
    </row>
    <row r="19" ht="25.5" spans="1:15">
      <c r="A19" s="47" t="s">
        <v>16</v>
      </c>
      <c r="B19" s="47" t="s">
        <v>17</v>
      </c>
      <c r="C19" s="47" t="s">
        <v>228</v>
      </c>
      <c r="D19" s="47" t="s">
        <v>232</v>
      </c>
      <c r="E19" s="47" t="s">
        <v>230</v>
      </c>
      <c r="F19" s="47" t="s">
        <v>234</v>
      </c>
      <c r="G19" s="47" t="s">
        <v>228</v>
      </c>
      <c r="H19" s="47" t="s">
        <v>235</v>
      </c>
      <c r="I19" s="47" t="s">
        <v>230</v>
      </c>
      <c r="J19" s="47" t="s">
        <v>234</v>
      </c>
      <c r="K19" s="47" t="s">
        <v>22</v>
      </c>
      <c r="L19" s="47" t="s">
        <v>41</v>
      </c>
      <c r="M19" s="47" t="s">
        <v>42</v>
      </c>
      <c r="N19" s="89"/>
      <c r="O19" s="90"/>
    </row>
    <row r="20" spans="1:15">
      <c r="A20" s="29" t="s">
        <v>221</v>
      </c>
      <c r="B20" s="48">
        <f>SUM(C20:F20)</f>
        <v>19.5</v>
      </c>
      <c r="C20" s="35">
        <v>4</v>
      </c>
      <c r="D20" s="34">
        <v>5</v>
      </c>
      <c r="E20" s="34">
        <v>5</v>
      </c>
      <c r="F20" s="34">
        <v>5.5</v>
      </c>
      <c r="G20" s="49">
        <f>(8700+15800+7800+53600+11200+23700+8500+23600+12700+16100+52600+37500+66980)/100000</f>
        <v>3.3878</v>
      </c>
      <c r="H20" s="50">
        <f>(44800+14800+6600+20250+7700+24700+36300+25300+12700+61600+27000+7800+34400+1800)/100000</f>
        <v>3.2575</v>
      </c>
      <c r="I20" s="50">
        <f>(7100+16100+4200+15800+1800+31700+9400+21200+6600+38500+31620+27100+44000)/100000</f>
        <v>2.5512</v>
      </c>
      <c r="J20" s="76">
        <f>(18300+15200+129100+18110+35500+9820+32400+27600+1000+45400+5900+48300)/100000</f>
        <v>3.8663</v>
      </c>
      <c r="K20" s="76">
        <f>SUM(G20:J20)</f>
        <v>13.0628</v>
      </c>
      <c r="L20" s="50">
        <f>+((C20+D20+E20+F20)-(G20+H20+I20+J20))*-1</f>
        <v>-6.4372</v>
      </c>
      <c r="M20" s="91">
        <f>+K20/B20</f>
        <v>0.669887179487179</v>
      </c>
      <c r="N20" s="89"/>
      <c r="O20" s="90"/>
    </row>
    <row r="21" spans="1:15">
      <c r="A21" s="29" t="s">
        <v>244</v>
      </c>
      <c r="B21" s="48">
        <f>SUM(C21:F21)</f>
        <v>13</v>
      </c>
      <c r="C21" s="35">
        <v>3</v>
      </c>
      <c r="D21" s="34">
        <v>3</v>
      </c>
      <c r="E21" s="34">
        <v>3</v>
      </c>
      <c r="F21" s="34">
        <v>4</v>
      </c>
      <c r="G21" s="49">
        <f>(29080+15880+19100+34200+50700+22900+18780+22100+18100+34600+10400+36600+47350+43910+78410)/100000</f>
        <v>4.8211</v>
      </c>
      <c r="H21" s="50">
        <f>(50000+20000+20000+10500+69200+21200+2200+61160+50650+54900+33000+11200)/100000</f>
        <v>4.0401</v>
      </c>
      <c r="I21" s="50">
        <f>(23700+70800+40600+200+41650+41300+26800+51400)/100000</f>
        <v>2.9645</v>
      </c>
      <c r="J21" s="50">
        <f>(10100+31100+17300+11800+21900+10050+19070+13900+26640+17200)/100000</f>
        <v>1.7906</v>
      </c>
      <c r="K21" s="50">
        <f t="shared" ref="K21:K30" si="4">SUM(G21:J21)</f>
        <v>13.6163</v>
      </c>
      <c r="L21" s="50">
        <f t="shared" ref="L21:L31" si="5">+((C21+D21+E21+F21)-(G21+H21+I21+J21))*-1</f>
        <v>0.616300000000001</v>
      </c>
      <c r="M21" s="91">
        <f t="shared" ref="M21:M31" si="6">+K21/B21</f>
        <v>1.04740769230769</v>
      </c>
      <c r="N21" s="89"/>
      <c r="O21" s="90"/>
    </row>
    <row r="22" spans="1:15">
      <c r="A22" s="29" t="s">
        <v>222</v>
      </c>
      <c r="B22" s="48">
        <f t="shared" ref="B22:B31" si="7">SUM(C22:F22)</f>
        <v>13.5</v>
      </c>
      <c r="C22" s="35">
        <v>3</v>
      </c>
      <c r="D22" s="34">
        <v>3</v>
      </c>
      <c r="E22" s="34">
        <v>3.5</v>
      </c>
      <c r="F22" s="34">
        <v>4</v>
      </c>
      <c r="G22" s="49">
        <f>(9100+23400+13750+21615+76800+3100+17700+9250+13100+36300+10200+11400+60480+200)/100000</f>
        <v>3.06395</v>
      </c>
      <c r="H22" s="50">
        <f>(28435+5400+89600+12300+15400+50000+11600+8900)/100000</f>
        <v>2.21635</v>
      </c>
      <c r="I22" s="50">
        <f>(120300+58900+19900+10400+28900+31400+9200+25000+12800)/100000</f>
        <v>3.168</v>
      </c>
      <c r="J22" s="50">
        <f>(11800+21900+10050+8200+23100+32000+10700+17800+155650)/100000</f>
        <v>2.912</v>
      </c>
      <c r="K22" s="50">
        <f>SUM(G22:J22)</f>
        <v>11.3603</v>
      </c>
      <c r="L22" s="50">
        <f>+((C22+D22+E22+F22)-(G22+H22+I22+J22))*-1</f>
        <v>-2.1397</v>
      </c>
      <c r="M22" s="91">
        <f>+K22/B22</f>
        <v>0.841503703703704</v>
      </c>
      <c r="N22" s="92"/>
      <c r="O22" s="93"/>
    </row>
    <row r="23" spans="1:15">
      <c r="A23" s="29" t="s">
        <v>223</v>
      </c>
      <c r="B23" s="48">
        <f>SUM(C23:F23)</f>
        <v>13</v>
      </c>
      <c r="C23" s="34">
        <v>3</v>
      </c>
      <c r="D23" s="34">
        <v>3</v>
      </c>
      <c r="E23" s="34">
        <v>3</v>
      </c>
      <c r="F23" s="34">
        <v>4</v>
      </c>
      <c r="G23" s="49">
        <f>(28800+25080+23000+42390+33900+33900+173200+40100)/100000</f>
        <v>4.0037</v>
      </c>
      <c r="H23" s="50">
        <f>(84500+29300+29480+32400+73400+31700+25700)/100000</f>
        <v>3.0648</v>
      </c>
      <c r="I23" s="50">
        <f>(35300+38650+48350+46500+46920+35300)/100000</f>
        <v>2.5102</v>
      </c>
      <c r="J23" s="50">
        <f>(69700+25600+223300+17400+19200+90900)/100000</f>
        <v>4.461</v>
      </c>
      <c r="K23" s="50">
        <f>SUM(G23:J23)</f>
        <v>14.0397</v>
      </c>
      <c r="L23" s="50">
        <f>+((C23+D23+E23+F23)-(G23+H23+I23+J23))*-1</f>
        <v>1.0397</v>
      </c>
      <c r="M23" s="91">
        <f>+K23/B23</f>
        <v>1.07997692307692</v>
      </c>
      <c r="N23" s="92"/>
      <c r="O23" s="93"/>
    </row>
    <row r="24" spans="1:15">
      <c r="A24" s="29" t="s">
        <v>29</v>
      </c>
      <c r="B24" s="48">
        <f>SUM(C24:F24)</f>
        <v>3</v>
      </c>
      <c r="C24" s="34">
        <v>0.5</v>
      </c>
      <c r="D24" s="34">
        <v>1</v>
      </c>
      <c r="E24" s="34">
        <v>0.75</v>
      </c>
      <c r="F24" s="34">
        <v>0.75</v>
      </c>
      <c r="G24" s="49">
        <f>(4000+12600+5000+7600)/100000</f>
        <v>0.292</v>
      </c>
      <c r="H24" s="50">
        <f>(44000+7500+4000+4600+6000)/100000</f>
        <v>0.661</v>
      </c>
      <c r="I24" s="50">
        <f>(75400+5000)/100000</f>
        <v>0.804</v>
      </c>
      <c r="J24" s="50">
        <f>(13800+7000+17600+6000)/100000</f>
        <v>0.444</v>
      </c>
      <c r="K24" s="50">
        <f>SUM(G24:J24)</f>
        <v>2.201</v>
      </c>
      <c r="L24" s="50">
        <f>+((C24+D24+E24+F24)-(G24+H24+I24+J24))*-1</f>
        <v>-0.799</v>
      </c>
      <c r="M24" s="91">
        <f>+K24/B24</f>
        <v>0.733666666666667</v>
      </c>
      <c r="N24" s="92"/>
      <c r="O24" s="93"/>
    </row>
    <row r="25" spans="1:15">
      <c r="A25" s="51" t="s">
        <v>196</v>
      </c>
      <c r="B25" s="48">
        <f>SUM(C25:F25)</f>
        <v>13</v>
      </c>
      <c r="C25" s="35">
        <v>2.5</v>
      </c>
      <c r="D25" s="52">
        <v>3.25</v>
      </c>
      <c r="E25" s="52">
        <v>3.25</v>
      </c>
      <c r="F25" s="52">
        <v>4</v>
      </c>
      <c r="G25" s="49">
        <f>(42800+42700+25500+67500+53100+50800+35600+44600)/100000</f>
        <v>3.626</v>
      </c>
      <c r="H25" s="50">
        <f>(43750+44100+43800+66900+52700+61300+31200)/100000</f>
        <v>3.4375</v>
      </c>
      <c r="I25" s="50">
        <f>(30700+49600+45900+72700+39000+38500)/100000</f>
        <v>2.764</v>
      </c>
      <c r="J25" s="50">
        <f>(51400+33250+33450+28800+34680+48630)/100000</f>
        <v>2.3021</v>
      </c>
      <c r="K25" s="50">
        <f>SUM(G25:J25)</f>
        <v>12.1296</v>
      </c>
      <c r="L25" s="50">
        <f>+((C25+D25+E25+F25)-(G25+H25+I25+J25))*-1</f>
        <v>-0.870400000000002</v>
      </c>
      <c r="M25" s="91">
        <f>+K25/B25</f>
        <v>0.933046153846154</v>
      </c>
      <c r="N25" s="94"/>
      <c r="O25" s="95"/>
    </row>
    <row r="26" spans="1:15">
      <c r="A26" s="51" t="s">
        <v>197</v>
      </c>
      <c r="B26" s="48">
        <f>SUM(C26:F26)</f>
        <v>15</v>
      </c>
      <c r="C26" s="35">
        <v>3.25</v>
      </c>
      <c r="D26" s="52">
        <v>4</v>
      </c>
      <c r="E26" s="52">
        <v>3.25</v>
      </c>
      <c r="F26" s="52">
        <v>4.5</v>
      </c>
      <c r="G26" s="49">
        <f>(31550+64100+40640+50150+153300+47700+90400+41550)/100000</f>
        <v>5.1939</v>
      </c>
      <c r="H26" s="50">
        <f>(122600+51600+75750+97550+99500+74040)/100000</f>
        <v>5.2104</v>
      </c>
      <c r="I26" s="50">
        <f>(37850+92150+72150+97635+36850+42000)/100000</f>
        <v>3.78635</v>
      </c>
      <c r="J26" s="50">
        <f>(78100+54000+28850+29100+34680+23050)/100000</f>
        <v>2.4778</v>
      </c>
      <c r="K26" s="50">
        <f>SUM(G26:J26)</f>
        <v>16.66845</v>
      </c>
      <c r="L26" s="50">
        <f>+((C26+D26+E26+F26)-(G26+H26+I26+J26))*-1</f>
        <v>1.66845</v>
      </c>
      <c r="M26" s="91">
        <f>+K26/B26</f>
        <v>1.11123</v>
      </c>
      <c r="N26" s="92"/>
      <c r="O26" s="93"/>
    </row>
    <row r="27" spans="1:15">
      <c r="A27" s="51" t="s">
        <v>198</v>
      </c>
      <c r="B27" s="48">
        <f>SUM(C27:F27)</f>
        <v>13</v>
      </c>
      <c r="C27" s="35">
        <v>3</v>
      </c>
      <c r="D27" s="52">
        <v>3.5</v>
      </c>
      <c r="E27" s="52">
        <v>3</v>
      </c>
      <c r="F27" s="52">
        <v>3.5</v>
      </c>
      <c r="G27" s="49">
        <f>(31000+38500+30200+53200+63950+112600+43900+87200)/100000</f>
        <v>4.6055</v>
      </c>
      <c r="H27" s="50">
        <f>(142700+90390+45000+45900+52950+21700+37600+25800)/100000</f>
        <v>4.6204</v>
      </c>
      <c r="I27" s="50">
        <f>(29500+98440+60900+46765+69400+55200)/100000</f>
        <v>3.60205</v>
      </c>
      <c r="J27" s="50">
        <f>(102280+43900+39100)/100000</f>
        <v>1.8528</v>
      </c>
      <c r="K27" s="50">
        <f>SUM(G27:J27)</f>
        <v>14.68075</v>
      </c>
      <c r="L27" s="50">
        <f>+((C27+D27+E27+F27)-(G27+H27+I27+J27))*-1</f>
        <v>1.68075</v>
      </c>
      <c r="M27" s="91">
        <f>+K27/B27</f>
        <v>1.12928846153846</v>
      </c>
      <c r="N27" s="92"/>
      <c r="O27" s="93"/>
    </row>
    <row r="28" spans="1:15">
      <c r="A28" s="51" t="s">
        <v>199</v>
      </c>
      <c r="B28" s="48">
        <f>SUM(C28:F28)</f>
        <v>13</v>
      </c>
      <c r="C28" s="35">
        <v>3</v>
      </c>
      <c r="D28" s="52">
        <v>3</v>
      </c>
      <c r="E28" s="52">
        <v>3</v>
      </c>
      <c r="F28" s="52">
        <v>4</v>
      </c>
      <c r="G28" s="49">
        <f>(27200+17200+20400+63100+96200+15800+108100+112000)/100000</f>
        <v>4.6</v>
      </c>
      <c r="H28" s="50">
        <f>(12150+36500+38051+30000+40510+30150+14000)/100000</f>
        <v>2.01361</v>
      </c>
      <c r="I28" s="50">
        <f>(32100+182700+19300+43350+15550+24800)/100000</f>
        <v>3.178</v>
      </c>
      <c r="J28" s="50">
        <f>(24100+42200+58400+74700+17600+16500)/100000</f>
        <v>2.335</v>
      </c>
      <c r="K28" s="50">
        <f>SUM(G28:J28)</f>
        <v>12.12661</v>
      </c>
      <c r="L28" s="50">
        <f>+((C28+D28+E28+F28)-(G28+H28+I28+J28))*-1</f>
        <v>-0.873390000000001</v>
      </c>
      <c r="M28" s="91">
        <f>+K28/B28</f>
        <v>0.932816153846154</v>
      </c>
      <c r="N28" s="92"/>
      <c r="O28" s="93"/>
    </row>
    <row r="29" spans="1:15">
      <c r="A29" s="53" t="s">
        <v>35</v>
      </c>
      <c r="B29" s="48">
        <f>SUM(C29:F29)</f>
        <v>4</v>
      </c>
      <c r="C29" s="35">
        <v>1</v>
      </c>
      <c r="D29" s="52">
        <v>1</v>
      </c>
      <c r="E29" s="52">
        <v>1</v>
      </c>
      <c r="F29" s="52">
        <v>1</v>
      </c>
      <c r="G29" s="49"/>
      <c r="H29" s="50">
        <f>(39600)/100000</f>
        <v>0.396</v>
      </c>
      <c r="I29" s="50"/>
      <c r="J29" s="50"/>
      <c r="K29" s="50">
        <f>SUM(G29:J29)</f>
        <v>0.396</v>
      </c>
      <c r="L29" s="50">
        <f>+((C29+D29+E29+F29)-(G29+H29+I29+J29))*-1</f>
        <v>-3.604</v>
      </c>
      <c r="M29" s="91">
        <f>+K29/B29</f>
        <v>0.099</v>
      </c>
      <c r="N29" s="92"/>
      <c r="O29" s="93"/>
    </row>
    <row r="30" spans="1:15">
      <c r="A30" s="53" t="s">
        <v>38</v>
      </c>
      <c r="B30" s="48">
        <f>SUM(C30:F30)</f>
        <v>25</v>
      </c>
      <c r="C30" s="35">
        <v>5</v>
      </c>
      <c r="D30" s="52">
        <v>6</v>
      </c>
      <c r="E30" s="52">
        <v>6</v>
      </c>
      <c r="F30" s="52">
        <v>8</v>
      </c>
      <c r="G30" s="49">
        <f>(4400+72400+137600+15600+21500+22200+475285+71100+33550+292385)/100000</f>
        <v>11.4602</v>
      </c>
      <c r="H30" s="50">
        <f>(76000+21300+11000+37620+50000+37300+2520+31450+22000+3000+51690)/100000</f>
        <v>3.4388</v>
      </c>
      <c r="I30" s="50">
        <f>(21900+23310+481+4800+59365+47525+20000+5000+17917+120000+37005)/100000</f>
        <v>3.57303</v>
      </c>
      <c r="J30" s="50">
        <f>(89400+19102+22000+8710+7500+2300+11000+20367+21400+89600+22800+221324+34291)/100000</f>
        <v>5.69794</v>
      </c>
      <c r="K30" s="50">
        <f>SUM(G30:J30)</f>
        <v>24.16997</v>
      </c>
      <c r="L30" s="50">
        <f>+((C30+D30+E30+F30)-(G30+H30+I30+J30))*-1</f>
        <v>-0.830030000000001</v>
      </c>
      <c r="M30" s="91">
        <f>+K30/B30</f>
        <v>0.9667988</v>
      </c>
      <c r="N30" s="92"/>
      <c r="O30" s="93"/>
    </row>
    <row r="31" spans="1:15">
      <c r="A31" s="54" t="s">
        <v>44</v>
      </c>
      <c r="B31" s="48">
        <f>SUM(C31:F31)</f>
        <v>145</v>
      </c>
      <c r="C31" s="35">
        <f t="shared" ref="C31:K31" si="8">SUM(C20:C30)</f>
        <v>31.25</v>
      </c>
      <c r="D31" s="48">
        <f>SUM(D20:D30)</f>
        <v>35.75</v>
      </c>
      <c r="E31" s="48">
        <f>SUM(E20:E30)</f>
        <v>34.75</v>
      </c>
      <c r="F31" s="48">
        <f>SUM(F20:F30)</f>
        <v>43.25</v>
      </c>
      <c r="G31" s="49">
        <f>SUM(G20:G30)</f>
        <v>45.05415</v>
      </c>
      <c r="H31" s="50">
        <f>SUM(H20:H30)</f>
        <v>32.35646</v>
      </c>
      <c r="I31" s="50">
        <f>SUM(I20:I30)</f>
        <v>28.90133</v>
      </c>
      <c r="J31" s="50">
        <f>SUM(J20:J30)</f>
        <v>28.13954</v>
      </c>
      <c r="K31" s="122">
        <f>SUM(K20:K30)</f>
        <v>134.45148</v>
      </c>
      <c r="L31" s="50">
        <f>+((C31+D31+E31+F31)-(G31+H31+I31+J31))*-1</f>
        <v>-10.54852</v>
      </c>
      <c r="M31" s="91">
        <f>+K31/B31</f>
        <v>0.927251586206897</v>
      </c>
      <c r="N31" s="92"/>
      <c r="O31" s="93"/>
    </row>
    <row r="32" spans="1:15">
      <c r="A32" s="55"/>
      <c r="B32" s="56"/>
      <c r="C32" s="57"/>
      <c r="N32" s="94"/>
      <c r="O32" s="95"/>
    </row>
    <row r="33" spans="14:15">
      <c r="N33" s="92"/>
      <c r="O33" s="93"/>
    </row>
    <row r="34" spans="14:15">
      <c r="N34" s="92"/>
      <c r="O34" s="93"/>
    </row>
    <row r="35" spans="2:15">
      <c r="B35" s="1"/>
      <c r="N35" s="92"/>
      <c r="O35" s="93"/>
    </row>
    <row r="36" spans="2:15">
      <c r="B36" s="1"/>
      <c r="N36" s="92"/>
      <c r="O36" s="93"/>
    </row>
    <row r="37" spans="2:15">
      <c r="B37" s="1"/>
      <c r="N37" s="92"/>
      <c r="O37" s="93"/>
    </row>
    <row r="38" spans="2:15">
      <c r="B38" s="1"/>
      <c r="N38" s="92"/>
      <c r="O38" s="93"/>
    </row>
    <row r="39" spans="2:15">
      <c r="B39" s="1"/>
      <c r="N39" s="92"/>
      <c r="O39" s="93"/>
    </row>
    <row r="40" spans="2:15">
      <c r="B40" s="1"/>
      <c r="N40" s="92"/>
      <c r="O40" s="93"/>
    </row>
    <row r="41" spans="2:15">
      <c r="B41" s="1"/>
      <c r="N41" s="92"/>
      <c r="O41" s="93"/>
    </row>
    <row r="42" spans="2:15">
      <c r="B42" s="1"/>
      <c r="N42" s="94"/>
      <c r="O42" s="95"/>
    </row>
    <row r="43" spans="2:15">
      <c r="B43" s="1"/>
      <c r="N43" s="92"/>
      <c r="O43" s="93"/>
    </row>
    <row r="44" spans="2:15">
      <c r="B44" s="1"/>
      <c r="N44" s="92"/>
      <c r="O44" s="93"/>
    </row>
    <row r="45" spans="2:15">
      <c r="B45" s="1"/>
      <c r="N45" s="92"/>
      <c r="O45" s="93"/>
    </row>
    <row r="46" spans="2:15">
      <c r="B46" s="1"/>
      <c r="N46" s="92"/>
      <c r="O46" s="93"/>
    </row>
    <row r="47" spans="2:15">
      <c r="B47" s="1"/>
      <c r="N47" s="92"/>
      <c r="O47" s="93"/>
    </row>
    <row r="48" spans="2:15">
      <c r="B48" s="1"/>
      <c r="N48" s="92"/>
      <c r="O48" s="93"/>
    </row>
    <row r="49" spans="2:15">
      <c r="B49" s="1"/>
      <c r="N49" s="92"/>
      <c r="O49" s="93"/>
    </row>
    <row r="50" spans="2:15">
      <c r="B50" s="1"/>
      <c r="N50" s="94"/>
      <c r="O50" s="95"/>
    </row>
    <row r="51" spans="2:15">
      <c r="B51" s="1"/>
      <c r="N51" s="92"/>
      <c r="O51" s="93"/>
    </row>
    <row r="52" spans="2:15">
      <c r="B52" s="1"/>
      <c r="N52" s="92"/>
      <c r="O52" s="93"/>
    </row>
    <row r="53" spans="2:15">
      <c r="B53" s="1"/>
      <c r="N53" s="92"/>
      <c r="O53" s="93"/>
    </row>
    <row r="54" spans="2:15">
      <c r="B54" s="1"/>
      <c r="N54" s="92"/>
      <c r="O54" s="93"/>
    </row>
    <row r="55" spans="2:15">
      <c r="B55" s="1"/>
      <c r="N55" s="92"/>
      <c r="O55" s="93"/>
    </row>
    <row r="56" spans="2:15">
      <c r="B56" s="1"/>
      <c r="N56" s="92"/>
      <c r="O56" s="93"/>
    </row>
    <row r="57" spans="2:15">
      <c r="B57" s="1"/>
      <c r="N57" s="92"/>
      <c r="O57" s="93"/>
    </row>
    <row r="58" spans="2:15">
      <c r="B58" s="1"/>
      <c r="N58" s="92"/>
      <c r="O58" s="96"/>
    </row>
  </sheetData>
  <mergeCells count="6">
    <mergeCell ref="B1:M1"/>
    <mergeCell ref="D5:F5"/>
    <mergeCell ref="C6:F6"/>
    <mergeCell ref="G6:J6"/>
    <mergeCell ref="C18:F18"/>
    <mergeCell ref="G18:J18"/>
  </mergeCells>
  <pageMargins left="0.699305555555556" right="0.699305555555556" top="0.75" bottom="0.75" header="0.3" footer="0.3"/>
  <pageSetup paperSize="9" orientation="landscape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58"/>
  <sheetViews>
    <sheetView topLeftCell="A19" workbookViewId="0">
      <selection activeCell="A1" sqref="A1:M31"/>
    </sheetView>
  </sheetViews>
  <sheetFormatPr defaultColWidth="9" defaultRowHeight="15"/>
  <cols>
    <col min="1" max="1" width="17.4285714285714" style="1" customWidth="1"/>
    <col min="2" max="2" width="9" style="2" customWidth="1"/>
    <col min="3" max="3" width="8.42857142857143" style="1" customWidth="1"/>
    <col min="4" max="4" width="8.57142857142857" style="1" customWidth="1"/>
    <col min="5" max="5" width="8.28571428571429" style="1" customWidth="1"/>
    <col min="6" max="6" width="8.71428571428571" style="1" customWidth="1"/>
    <col min="7" max="7" width="8.28571428571429" style="1" customWidth="1"/>
    <col min="8" max="8" width="8.85714285714286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ht="13.5" customHeight="1" spans="1:13">
      <c r="A1" s="3">
        <v>41308</v>
      </c>
      <c r="B1" s="4" t="s">
        <v>245</v>
      </c>
      <c r="C1" s="5"/>
      <c r="D1" s="5"/>
      <c r="E1" s="5"/>
      <c r="F1" s="5"/>
      <c r="G1" s="5"/>
      <c r="H1" s="5"/>
      <c r="I1" s="5"/>
      <c r="J1" s="5"/>
      <c r="K1" s="5"/>
      <c r="L1" s="5"/>
      <c r="M1" s="58"/>
    </row>
    <row r="2" spans="1:13">
      <c r="A2" s="6" t="s">
        <v>2</v>
      </c>
      <c r="B2" s="7">
        <f>+K17</f>
        <v>129</v>
      </c>
      <c r="C2" s="8"/>
      <c r="D2" s="8"/>
      <c r="E2" s="8"/>
      <c r="F2" s="8"/>
      <c r="G2" s="9"/>
      <c r="H2" s="10"/>
      <c r="I2" s="59"/>
      <c r="J2" s="10"/>
      <c r="K2" s="10"/>
      <c r="L2" s="10"/>
      <c r="M2" s="104"/>
    </row>
    <row r="3" ht="12" customHeight="1" spans="1:13">
      <c r="A3" s="6" t="s">
        <v>3</v>
      </c>
      <c r="B3" s="7">
        <f>+M17</f>
        <v>0</v>
      </c>
      <c r="C3" s="8"/>
      <c r="D3" s="8"/>
      <c r="E3" s="8"/>
      <c r="F3" s="8"/>
      <c r="G3" s="9"/>
      <c r="H3" s="10"/>
      <c r="I3" s="10"/>
      <c r="J3" s="10"/>
      <c r="K3" s="10"/>
      <c r="L3" s="61"/>
      <c r="M3" s="105"/>
    </row>
    <row r="4" spans="1:13">
      <c r="A4" s="6" t="s">
        <v>246</v>
      </c>
      <c r="B4" s="11"/>
      <c r="C4" s="12"/>
      <c r="D4" s="13" t="s">
        <v>5</v>
      </c>
      <c r="E4" s="12">
        <v>8</v>
      </c>
      <c r="F4" s="12"/>
      <c r="G4" s="14" t="s">
        <v>78</v>
      </c>
      <c r="H4" s="15"/>
      <c r="I4" s="62" t="s">
        <v>7</v>
      </c>
      <c r="J4" s="13">
        <f>+K31</f>
        <v>117.03776</v>
      </c>
      <c r="K4" s="12" t="s">
        <v>8</v>
      </c>
      <c r="L4" s="12" t="s">
        <v>111</v>
      </c>
      <c r="M4" s="106"/>
    </row>
    <row r="5" spans="1:13">
      <c r="A5" s="16" t="s">
        <v>10</v>
      </c>
      <c r="B5" s="17" t="s">
        <v>247</v>
      </c>
      <c r="C5" s="18" t="s">
        <v>113</v>
      </c>
      <c r="D5" s="19">
        <v>10698750</v>
      </c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2.5" customHeight="1" spans="1:13">
      <c r="A7" s="25" t="s">
        <v>16</v>
      </c>
      <c r="B7" s="25" t="s">
        <v>17</v>
      </c>
      <c r="C7" s="25" t="s">
        <v>228</v>
      </c>
      <c r="D7" s="25" t="s">
        <v>229</v>
      </c>
      <c r="E7" s="25" t="s">
        <v>230</v>
      </c>
      <c r="F7" s="25" t="s">
        <v>231</v>
      </c>
      <c r="G7" s="25" t="s">
        <v>228</v>
      </c>
      <c r="H7" s="25" t="s">
        <v>232</v>
      </c>
      <c r="I7" s="25" t="s">
        <v>233</v>
      </c>
      <c r="J7" s="25" t="s">
        <v>234</v>
      </c>
      <c r="K7" s="25" t="s">
        <v>22</v>
      </c>
      <c r="L7" s="25" t="s">
        <v>23</v>
      </c>
      <c r="M7" s="25" t="s">
        <v>24</v>
      </c>
    </row>
    <row r="8" spans="1:13">
      <c r="A8" s="29" t="s">
        <v>216</v>
      </c>
      <c r="B8" s="33">
        <f t="shared" ref="B8:B17" si="0">SUM(C8:F8)</f>
        <v>0</v>
      </c>
      <c r="C8" s="34"/>
      <c r="D8" s="34"/>
      <c r="E8" s="34"/>
      <c r="F8" s="34"/>
      <c r="G8" s="48"/>
      <c r="H8" s="48"/>
      <c r="I8" s="48"/>
      <c r="J8" s="48"/>
      <c r="K8" s="48">
        <f t="shared" ref="K8:K17" si="1">SUM(G8:J8)</f>
        <v>0</v>
      </c>
      <c r="L8" s="48">
        <f>+((C8+D8+E8+F8)-(G8+H8+I8+J8))*-1</f>
        <v>0</v>
      </c>
      <c r="M8" s="48"/>
    </row>
    <row r="9" spans="1:13">
      <c r="A9" s="29" t="s">
        <v>26</v>
      </c>
      <c r="B9" s="33">
        <f>SUM(C9:F9)</f>
        <v>25</v>
      </c>
      <c r="C9" s="34">
        <v>5</v>
      </c>
      <c r="D9" s="34">
        <v>8</v>
      </c>
      <c r="E9" s="34">
        <v>5</v>
      </c>
      <c r="F9" s="34">
        <v>7</v>
      </c>
      <c r="G9" s="48">
        <v>1</v>
      </c>
      <c r="H9" s="48">
        <v>2</v>
      </c>
      <c r="I9" s="48">
        <v>5</v>
      </c>
      <c r="J9" s="48">
        <v>13.5</v>
      </c>
      <c r="K9" s="48">
        <f>SUM(G9:J9)</f>
        <v>21.5</v>
      </c>
      <c r="L9" s="48">
        <f t="shared" ref="L9:L17" si="2">+((C9+D9+E9+F9)-(G9+H9+I9+J9))*-1</f>
        <v>-3.5</v>
      </c>
      <c r="M9" s="48"/>
    </row>
    <row r="10" spans="1:17">
      <c r="A10" s="29" t="s">
        <v>27</v>
      </c>
      <c r="B10" s="33">
        <f>SUM(C10:F10)</f>
        <v>25</v>
      </c>
      <c r="C10" s="34">
        <v>5</v>
      </c>
      <c r="D10" s="34">
        <v>8</v>
      </c>
      <c r="E10" s="34">
        <v>5</v>
      </c>
      <c r="F10" s="34">
        <v>7</v>
      </c>
      <c r="G10" s="48">
        <v>1</v>
      </c>
      <c r="H10" s="48">
        <v>1</v>
      </c>
      <c r="I10" s="48">
        <v>3</v>
      </c>
      <c r="J10" s="48">
        <v>5.5</v>
      </c>
      <c r="K10" s="48">
        <f>SUM(G10:J10)</f>
        <v>10.5</v>
      </c>
      <c r="L10" s="48">
        <f>+((C10+D10+E10+F10)-(G10+H10+I10+J10))*-1</f>
        <v>-14.5</v>
      </c>
      <c r="M10" s="48"/>
      <c r="Q10"/>
    </row>
    <row r="11" spans="1:13">
      <c r="A11" s="114" t="s">
        <v>219</v>
      </c>
      <c r="B11" s="33">
        <f>SUM(C11:F11)</f>
        <v>25</v>
      </c>
      <c r="C11" s="34">
        <v>5</v>
      </c>
      <c r="D11" s="34">
        <v>7</v>
      </c>
      <c r="E11" s="34">
        <v>6</v>
      </c>
      <c r="F11" s="34">
        <v>7</v>
      </c>
      <c r="G11" s="48">
        <v>6</v>
      </c>
      <c r="H11" s="48">
        <v>1</v>
      </c>
      <c r="I11" s="48"/>
      <c r="J11" s="48"/>
      <c r="K11" s="48">
        <f>SUM(G11:J11)</f>
        <v>7</v>
      </c>
      <c r="L11" s="48">
        <f>+((C11+D11+E11+F11)-(G11+H11+I11+J11))*-1</f>
        <v>-18</v>
      </c>
      <c r="M11" s="48"/>
    </row>
    <row r="12" ht="15.75" customHeight="1" spans="1:13">
      <c r="A12" s="114" t="s">
        <v>166</v>
      </c>
      <c r="B12" s="33">
        <f>SUM(C12:F12)</f>
        <v>25</v>
      </c>
      <c r="C12" s="34">
        <v>5</v>
      </c>
      <c r="D12" s="34">
        <v>7</v>
      </c>
      <c r="E12" s="34">
        <v>6</v>
      </c>
      <c r="F12" s="34">
        <v>7</v>
      </c>
      <c r="G12" s="48">
        <v>1</v>
      </c>
      <c r="H12" s="48">
        <v>11</v>
      </c>
      <c r="I12" s="48"/>
      <c r="J12" s="48">
        <v>8</v>
      </c>
      <c r="K12" s="48">
        <f>SUM(G12:J12)</f>
        <v>20</v>
      </c>
      <c r="L12" s="48">
        <f>+((C12+D12+E12+F12)-(G12+H12+I12+J12))*-1</f>
        <v>-5</v>
      </c>
      <c r="M12" s="48"/>
    </row>
    <row r="13" spans="1:13">
      <c r="A13" s="114" t="s">
        <v>141</v>
      </c>
      <c r="B13" s="33">
        <f>SUM(C13:F13)</f>
        <v>25</v>
      </c>
      <c r="C13" s="34">
        <v>5</v>
      </c>
      <c r="D13" s="34">
        <v>7</v>
      </c>
      <c r="E13" s="34">
        <v>6</v>
      </c>
      <c r="F13" s="34">
        <v>7</v>
      </c>
      <c r="G13" s="48">
        <v>3</v>
      </c>
      <c r="H13" s="48"/>
      <c r="I13" s="48">
        <v>1</v>
      </c>
      <c r="J13" s="48"/>
      <c r="K13" s="48">
        <f>SUM(G13:J13)</f>
        <v>4</v>
      </c>
      <c r="L13" s="48">
        <f>+((C13+D13+E13+F13)-(G13+H13+I13+J13))*-1</f>
        <v>-21</v>
      </c>
      <c r="M13" s="48"/>
    </row>
    <row r="14" spans="1:13">
      <c r="A14" s="114" t="s">
        <v>167</v>
      </c>
      <c r="B14" s="33">
        <f>SUM(C14:F14)</f>
        <v>25</v>
      </c>
      <c r="C14" s="34">
        <v>5</v>
      </c>
      <c r="D14" s="34">
        <v>7</v>
      </c>
      <c r="E14" s="34">
        <v>6</v>
      </c>
      <c r="F14" s="34">
        <v>7</v>
      </c>
      <c r="G14" s="48"/>
      <c r="H14" s="48"/>
      <c r="I14" s="48"/>
      <c r="J14" s="48">
        <v>1</v>
      </c>
      <c r="K14" s="48">
        <f>SUM(G14:J14)</f>
        <v>1</v>
      </c>
      <c r="L14" s="48">
        <f>+((C14+D14+E14+F14)-(G14+H14+I14+J14))*-1</f>
        <v>-24</v>
      </c>
      <c r="M14" s="48"/>
    </row>
    <row r="15" spans="1:13">
      <c r="A15" s="114" t="s">
        <v>243</v>
      </c>
      <c r="B15" s="33">
        <f>SUM(C15:F15)</f>
        <v>35</v>
      </c>
      <c r="C15" s="34">
        <v>5</v>
      </c>
      <c r="D15" s="34">
        <v>5</v>
      </c>
      <c r="E15" s="34">
        <v>10</v>
      </c>
      <c r="F15" s="34">
        <v>15</v>
      </c>
      <c r="G15" s="48">
        <v>9.5</v>
      </c>
      <c r="H15" s="48">
        <v>2</v>
      </c>
      <c r="I15" s="48">
        <v>1</v>
      </c>
      <c r="J15" s="48">
        <v>1</v>
      </c>
      <c r="K15" s="48">
        <f>SUM(G15:J15)</f>
        <v>13.5</v>
      </c>
      <c r="L15" s="48">
        <f>+((C15+D15+E15+F15)-(G15+H15+I15+J15))*-1</f>
        <v>-21.5</v>
      </c>
      <c r="M15" s="48"/>
    </row>
    <row r="16" spans="1:13">
      <c r="A16" s="115" t="s">
        <v>38</v>
      </c>
      <c r="B16" s="33">
        <f>SUM(C16:F16)</f>
        <v>100</v>
      </c>
      <c r="C16" s="34">
        <v>20</v>
      </c>
      <c r="D16" s="34">
        <v>20</v>
      </c>
      <c r="E16" s="34">
        <v>25</v>
      </c>
      <c r="F16" s="34">
        <v>35</v>
      </c>
      <c r="G16" s="38">
        <v>2</v>
      </c>
      <c r="H16" s="35">
        <v>8.5</v>
      </c>
      <c r="I16" s="35">
        <v>25</v>
      </c>
      <c r="J16" s="35">
        <v>16</v>
      </c>
      <c r="K16" s="48">
        <f>SUM(G16:J16)</f>
        <v>51.5</v>
      </c>
      <c r="L16" s="48">
        <f>+((C16+D16+E16+F16)-(G16+H16+I16+J16))*-1</f>
        <v>-48.5</v>
      </c>
      <c r="M16" s="35"/>
    </row>
    <row r="17" spans="1:13">
      <c r="A17" s="117" t="s">
        <v>161</v>
      </c>
      <c r="B17" s="33">
        <f>SUM(C17:F17)</f>
        <v>285</v>
      </c>
      <c r="C17" s="41">
        <f t="shared" ref="C17:J17" si="3">SUM(C8:C16)</f>
        <v>55</v>
      </c>
      <c r="D17" s="41">
        <f>SUM(D8:D16)</f>
        <v>69</v>
      </c>
      <c r="E17" s="41">
        <f>SUM(E8:E16)</f>
        <v>69</v>
      </c>
      <c r="F17" s="41">
        <f>SUM(F8:F16)</f>
        <v>92</v>
      </c>
      <c r="G17" s="41">
        <f>SUM(G8:G16)</f>
        <v>23.5</v>
      </c>
      <c r="H17" s="41">
        <f>SUM(H8:H16)</f>
        <v>25.5</v>
      </c>
      <c r="I17" s="41">
        <f>SUM(I8:I16)</f>
        <v>35</v>
      </c>
      <c r="J17" s="41">
        <f>SUM(J8:J16)</f>
        <v>45</v>
      </c>
      <c r="K17" s="78">
        <f>SUM(G17:J17)</f>
        <v>129</v>
      </c>
      <c r="L17" s="48">
        <f>+((C17+D17+E17+F17)-(G17+H17+I17+J17))*-1</f>
        <v>-156</v>
      </c>
      <c r="M17" s="41">
        <f>SUM(M8:M16)</f>
        <v>0</v>
      </c>
    </row>
    <row r="18" spans="1:15">
      <c r="A18" s="42" t="s">
        <v>40</v>
      </c>
      <c r="B18" s="43"/>
      <c r="C18" s="44" t="s">
        <v>14</v>
      </c>
      <c r="D18" s="45"/>
      <c r="E18" s="45"/>
      <c r="F18" s="46"/>
      <c r="G18" s="44"/>
      <c r="H18" s="45"/>
      <c r="I18" s="45"/>
      <c r="J18" s="46"/>
      <c r="K18" s="83"/>
      <c r="L18" s="84"/>
      <c r="M18" s="84"/>
      <c r="N18" s="111"/>
      <c r="O18" s="90"/>
    </row>
    <row r="19" ht="25.5" spans="1:15">
      <c r="A19" s="47" t="s">
        <v>16</v>
      </c>
      <c r="B19" s="47" t="s">
        <v>17</v>
      </c>
      <c r="C19" s="47" t="s">
        <v>228</v>
      </c>
      <c r="D19" s="47" t="s">
        <v>232</v>
      </c>
      <c r="E19" s="47" t="s">
        <v>230</v>
      </c>
      <c r="F19" s="47" t="s">
        <v>234</v>
      </c>
      <c r="G19" s="47" t="s">
        <v>228</v>
      </c>
      <c r="H19" s="47" t="s">
        <v>235</v>
      </c>
      <c r="I19" s="47" t="s">
        <v>230</v>
      </c>
      <c r="J19" s="47" t="s">
        <v>234</v>
      </c>
      <c r="K19" s="47" t="s">
        <v>22</v>
      </c>
      <c r="L19" s="47" t="s">
        <v>41</v>
      </c>
      <c r="M19" s="47" t="s">
        <v>42</v>
      </c>
      <c r="N19" s="89"/>
      <c r="O19" s="90"/>
    </row>
    <row r="20" spans="1:15">
      <c r="A20" s="29" t="s">
        <v>221</v>
      </c>
      <c r="B20" s="48">
        <f>SUM(C20:F20)</f>
        <v>19.5</v>
      </c>
      <c r="C20" s="35">
        <v>4</v>
      </c>
      <c r="D20" s="34">
        <v>5</v>
      </c>
      <c r="E20" s="34">
        <v>6</v>
      </c>
      <c r="F20" s="34">
        <v>4.5</v>
      </c>
      <c r="G20" s="49">
        <f>(25700+1200+1400+18200+89980+56200+2400+31900+3100+32500+13200+30600+4800+47100+18100)/100000</f>
        <v>3.7638</v>
      </c>
      <c r="H20" s="50">
        <f>(65600+37700+26700+26300+25200+3100+92100)/100000</f>
        <v>2.767</v>
      </c>
      <c r="I20" s="50">
        <f>(26400+15300+1800+27400+20500)/100000</f>
        <v>0.914</v>
      </c>
      <c r="J20" s="76">
        <f>(227080+3400+55210+18400+23100)/100000</f>
        <v>3.2719</v>
      </c>
      <c r="K20" s="76">
        <f>SUM(G20:J20)</f>
        <v>10.7167</v>
      </c>
      <c r="L20" s="50">
        <f>+((C20+D20+E20+F20)-(G20+H20+I20+J20))*-1</f>
        <v>-8.7833</v>
      </c>
      <c r="M20" s="91">
        <f>+K20/B20</f>
        <v>0.549574358974359</v>
      </c>
      <c r="N20" s="89"/>
      <c r="O20" s="90"/>
    </row>
    <row r="21" spans="1:15">
      <c r="A21" s="29" t="s">
        <v>244</v>
      </c>
      <c r="B21" s="48">
        <f>SUM(C21:F21)</f>
        <v>13.5</v>
      </c>
      <c r="C21" s="35">
        <v>3</v>
      </c>
      <c r="D21" s="34">
        <v>3</v>
      </c>
      <c r="E21" s="34">
        <v>4.5</v>
      </c>
      <c r="F21" s="34">
        <v>3</v>
      </c>
      <c r="G21" s="49">
        <f>(36412+12500+37300+57100+18350+16400+24900+33450)/100000</f>
        <v>2.36412</v>
      </c>
      <c r="H21" s="50">
        <f>(71400+70400+17300+28900+39800+105500+54300)/100000</f>
        <v>3.876</v>
      </c>
      <c r="I21" s="50">
        <f>(80100+14200+18125+7800+85100+21200+37030)/100000</f>
        <v>2.63555</v>
      </c>
      <c r="J21" s="50">
        <f>(104000+21150+9950+25800+20600+8800)/100000</f>
        <v>1.903</v>
      </c>
      <c r="K21" s="50">
        <f t="shared" ref="K21:K30" si="4">SUM(G21:J21)</f>
        <v>10.77867</v>
      </c>
      <c r="L21" s="50">
        <f t="shared" ref="L21:L31" si="5">+((C21+D21+E21+F21)-(G21+H21+I21+J21))*-1</f>
        <v>-2.72133</v>
      </c>
      <c r="M21" s="91">
        <f t="shared" ref="M21:M31" si="6">+K21/B21</f>
        <v>0.79842</v>
      </c>
      <c r="N21" s="89"/>
      <c r="O21" s="90"/>
    </row>
    <row r="22" spans="1:15">
      <c r="A22" s="29" t="s">
        <v>222</v>
      </c>
      <c r="B22" s="48">
        <f t="shared" ref="B22:B31" si="7">SUM(C22:F22)</f>
        <v>13.5</v>
      </c>
      <c r="C22" s="35">
        <v>3</v>
      </c>
      <c r="D22" s="34">
        <v>3</v>
      </c>
      <c r="E22" s="34">
        <v>4.5</v>
      </c>
      <c r="F22" s="34">
        <v>3</v>
      </c>
      <c r="G22" s="49">
        <f>(182400+19900+9900+114080+64150+53800+24100+26000)/100000</f>
        <v>4.9433</v>
      </c>
      <c r="H22" s="50">
        <f>(76500+29400+11410+26500+34100+20600+22800+34700+13800)/100000</f>
        <v>2.6981</v>
      </c>
      <c r="I22" s="50">
        <f>(39200+32000+59900+63300+13700)/100000</f>
        <v>2.081</v>
      </c>
      <c r="J22" s="50">
        <f>(92700+6800+31000+32611+26000+24400+25500)/100000</f>
        <v>2.39011</v>
      </c>
      <c r="K22" s="50">
        <f>SUM(G22:J22)</f>
        <v>12.11251</v>
      </c>
      <c r="L22" s="50">
        <f>+((C22+D22+E22+F22)-(G22+H22+I22+J22))*-1</f>
        <v>-1.38749</v>
      </c>
      <c r="M22" s="91">
        <f>+K22/B22</f>
        <v>0.897222962962963</v>
      </c>
      <c r="N22" s="92"/>
      <c r="O22" s="93"/>
    </row>
    <row r="23" spans="1:15">
      <c r="A23" s="29" t="s">
        <v>223</v>
      </c>
      <c r="B23" s="48">
        <f>SUM(C23:F23)</f>
        <v>14</v>
      </c>
      <c r="C23" s="34">
        <v>3</v>
      </c>
      <c r="D23" s="34">
        <v>3</v>
      </c>
      <c r="E23" s="34">
        <v>4</v>
      </c>
      <c r="F23" s="34">
        <v>4</v>
      </c>
      <c r="G23" s="49">
        <f>(23900+21700+20600+34600+17700+35640+60540+184250)/100000</f>
        <v>3.9893</v>
      </c>
      <c r="H23" s="50">
        <f>(24700+19300+3400+34750+17500+69200+30500+19350)/100000</f>
        <v>2.187</v>
      </c>
      <c r="I23" s="50">
        <f>(115340+40100+72000)/100000</f>
        <v>2.2744</v>
      </c>
      <c r="J23" s="50">
        <f>(90800+22000+22900+171900)/100000</f>
        <v>3.076</v>
      </c>
      <c r="K23" s="50">
        <f>SUM(G23:J23)</f>
        <v>11.5267</v>
      </c>
      <c r="L23" s="50">
        <f>+((C23+D23+E23+F23)-(G23+H23+I23+J23))*-1</f>
        <v>-2.4733</v>
      </c>
      <c r="M23" s="91">
        <f>+K23/B23</f>
        <v>0.823335714285714</v>
      </c>
      <c r="N23" s="92"/>
      <c r="O23" s="93"/>
    </row>
    <row r="24" spans="1:15">
      <c r="A24" s="29" t="s">
        <v>29</v>
      </c>
      <c r="B24" s="48">
        <f>SUM(C24:F24)</f>
        <v>3</v>
      </c>
      <c r="C24" s="34">
        <v>0.5</v>
      </c>
      <c r="D24" s="34">
        <v>1</v>
      </c>
      <c r="E24" s="34">
        <v>0.75</v>
      </c>
      <c r="F24" s="34">
        <v>0.75</v>
      </c>
      <c r="G24" s="49">
        <f>(8800+7000+51400)/100000</f>
        <v>0.672</v>
      </c>
      <c r="H24" s="50">
        <f>(7400)/100000</f>
        <v>0.074</v>
      </c>
      <c r="I24" s="50">
        <f>(58000+14500)/100000</f>
        <v>0.725</v>
      </c>
      <c r="J24" s="50">
        <f>(6700+8800+8200)/100000</f>
        <v>0.237</v>
      </c>
      <c r="K24" s="50">
        <f>SUM(G24:J24)</f>
        <v>1.708</v>
      </c>
      <c r="L24" s="50">
        <f>+((C24+D24+E24+F24)-(G24+H24+I24+J24))*-1</f>
        <v>-1.292</v>
      </c>
      <c r="M24" s="91">
        <f>+K24/B24</f>
        <v>0.569333333333333</v>
      </c>
      <c r="N24" s="92"/>
      <c r="O24" s="93"/>
    </row>
    <row r="25" spans="1:15">
      <c r="A25" s="51" t="s">
        <v>196</v>
      </c>
      <c r="B25" s="48">
        <f>SUM(C25:F25)</f>
        <v>13.5</v>
      </c>
      <c r="C25" s="35">
        <v>3</v>
      </c>
      <c r="D25" s="52">
        <v>3.25</v>
      </c>
      <c r="E25" s="52">
        <v>3.25</v>
      </c>
      <c r="F25" s="52">
        <v>4</v>
      </c>
      <c r="G25" s="49">
        <f>(20800+43800+53550+53000+25300+28100+37900+52100)/100000</f>
        <v>3.1455</v>
      </c>
      <c r="H25" s="50">
        <f>(70800+92350+2000+37600+1000+42770+62300+42470)/100000</f>
        <v>3.5129</v>
      </c>
      <c r="I25" s="50">
        <f>(44100+25700+40450+57400)/100000</f>
        <v>1.6765</v>
      </c>
      <c r="J25" s="50">
        <f>(77100+45500+20100+37100)/100000</f>
        <v>1.798</v>
      </c>
      <c r="K25" s="50">
        <f>SUM(G25:J25)</f>
        <v>10.1329</v>
      </c>
      <c r="L25" s="50">
        <f>+((C25+D25+E25+F25)-(G25+H25+I25+J25))*-1</f>
        <v>-3.3671</v>
      </c>
      <c r="M25" s="91">
        <f>+K25/B25</f>
        <v>0.750585185185185</v>
      </c>
      <c r="N25" s="94"/>
      <c r="O25" s="95"/>
    </row>
    <row r="26" spans="1:15">
      <c r="A26" s="51" t="s">
        <v>197</v>
      </c>
      <c r="B26" s="48">
        <f>SUM(C26:F26)</f>
        <v>15</v>
      </c>
      <c r="C26" s="35">
        <v>3.25</v>
      </c>
      <c r="D26" s="52">
        <v>4</v>
      </c>
      <c r="E26" s="52">
        <v>4.25</v>
      </c>
      <c r="F26" s="52">
        <v>3.5</v>
      </c>
      <c r="G26" s="49">
        <f>(27100+42200+62750+65700+23350+47900+53050+142350)/100000</f>
        <v>4.644</v>
      </c>
      <c r="H26" s="50">
        <f>(77950+127450+600+34750+75100+31550+130700)/100000</f>
        <v>4.781</v>
      </c>
      <c r="I26" s="50">
        <f>(55950+41550+70710+47750)/100000</f>
        <v>2.1596</v>
      </c>
      <c r="J26" s="50">
        <f>(92300+86950+24200+26250+10400+34050+14000)/100000</f>
        <v>2.8815</v>
      </c>
      <c r="K26" s="50">
        <f>SUM(G26:J26)</f>
        <v>14.4661</v>
      </c>
      <c r="L26" s="50">
        <f>+((C26+D26+E26+F26)-(G26+H26+I26+J26))*-1</f>
        <v>-0.533899999999999</v>
      </c>
      <c r="M26" s="91">
        <f>+K26/B26</f>
        <v>0.964406666666667</v>
      </c>
      <c r="N26" s="92"/>
      <c r="O26" s="93"/>
    </row>
    <row r="27" spans="1:15">
      <c r="A27" s="51" t="s">
        <v>198</v>
      </c>
      <c r="B27" s="48">
        <f>SUM(C27:F27)</f>
        <v>15</v>
      </c>
      <c r="C27" s="35">
        <v>4</v>
      </c>
      <c r="D27" s="52">
        <v>3.5</v>
      </c>
      <c r="E27" s="52">
        <v>3</v>
      </c>
      <c r="F27" s="52">
        <v>4.5</v>
      </c>
      <c r="G27" s="49">
        <f>(28400+51200+39500+193300+82000+65300+121200+89240)/100000</f>
        <v>6.7014</v>
      </c>
      <c r="H27" s="50">
        <f>(52400+37500+39840+46600+13800+20900)/100000</f>
        <v>2.1104</v>
      </c>
      <c r="I27" s="50">
        <f>(46200+103500+35700+112400)/100000</f>
        <v>2.978</v>
      </c>
      <c r="J27" s="50">
        <f>(55000+90000+55100+54900)/100000</f>
        <v>2.55</v>
      </c>
      <c r="K27" s="50">
        <f>SUM(G27:J27)</f>
        <v>14.3398</v>
      </c>
      <c r="L27" s="50">
        <f>+((C27+D27+E27+F27)-(G27+H27+I27+J27))*-1</f>
        <v>-0.6602</v>
      </c>
      <c r="M27" s="91">
        <f>+K27/B27</f>
        <v>0.955986666666667</v>
      </c>
      <c r="N27" s="92"/>
      <c r="O27" s="93"/>
    </row>
    <row r="28" spans="1:15">
      <c r="A28" s="51" t="s">
        <v>199</v>
      </c>
      <c r="B28" s="48">
        <f>SUM(C28:F28)</f>
        <v>13</v>
      </c>
      <c r="C28" s="35">
        <v>3</v>
      </c>
      <c r="D28" s="52">
        <v>3</v>
      </c>
      <c r="E28" s="52">
        <v>4</v>
      </c>
      <c r="F28" s="52">
        <v>3</v>
      </c>
      <c r="G28" s="49">
        <f>(44400+60500+56800+29900+62500+55900+22500+117000)/100000</f>
        <v>4.495</v>
      </c>
      <c r="H28" s="50">
        <f>(51800+11000+38100+20600+31700+72661)/100000</f>
        <v>2.25861</v>
      </c>
      <c r="I28" s="50">
        <f>(20900+77390+83300+70400)/100000</f>
        <v>2.5199</v>
      </c>
      <c r="J28" s="50">
        <f>(67200+19100+17300+11200)/100000</f>
        <v>1.148</v>
      </c>
      <c r="K28" s="50">
        <f>SUM(G28:J28)</f>
        <v>10.42151</v>
      </c>
      <c r="L28" s="50">
        <f>+((C28+D28+E28+F28)-(G28+H28+I28+J28))*-1</f>
        <v>-2.57849</v>
      </c>
      <c r="M28" s="91">
        <f>+K28/B28</f>
        <v>0.801654615384615</v>
      </c>
      <c r="N28" s="92"/>
      <c r="O28" s="93"/>
    </row>
    <row r="29" spans="1:15">
      <c r="A29" s="53" t="s">
        <v>35</v>
      </c>
      <c r="B29" s="48">
        <f>SUM(C29:F29)</f>
        <v>5</v>
      </c>
      <c r="C29" s="35">
        <v>1</v>
      </c>
      <c r="D29" s="52">
        <v>1</v>
      </c>
      <c r="E29" s="52">
        <v>2</v>
      </c>
      <c r="F29" s="52">
        <v>1</v>
      </c>
      <c r="G29" s="49">
        <f>(10000+290200)/100000</f>
        <v>3.002</v>
      </c>
      <c r="H29" s="50"/>
      <c r="I29" s="50"/>
      <c r="J29" s="50">
        <f>(35880)/100000</f>
        <v>0.3588</v>
      </c>
      <c r="K29" s="50">
        <f>SUM(G29:J29)</f>
        <v>3.3608</v>
      </c>
      <c r="L29" s="50">
        <f>+((C29+D29+E29+F29)-(G29+H29+I29+J29))*-1</f>
        <v>-1.6392</v>
      </c>
      <c r="M29" s="91">
        <f>+K29/B29</f>
        <v>0.67216</v>
      </c>
      <c r="N29" s="92"/>
      <c r="O29" s="93"/>
    </row>
    <row r="30" spans="1:15">
      <c r="A30" s="53" t="s">
        <v>38</v>
      </c>
      <c r="B30" s="48">
        <f>SUM(C30:F30)</f>
        <v>25</v>
      </c>
      <c r="C30" s="35">
        <v>6</v>
      </c>
      <c r="D30" s="52">
        <v>6</v>
      </c>
      <c r="E30" s="52">
        <v>7</v>
      </c>
      <c r="F30" s="52">
        <v>6</v>
      </c>
      <c r="G30" s="49">
        <f>(31200+10060+18000+46040+34015+32025+5160+53420+45600+253270)/100000</f>
        <v>5.2879</v>
      </c>
      <c r="H30" s="50">
        <f>(52380+23100+33820+41045+7847+68281+4400+20490)/100000</f>
        <v>2.51363</v>
      </c>
      <c r="I30" s="50">
        <f>(23800+3730+30900+30800+164460+14358+36400+221985)/100000</f>
        <v>5.26433</v>
      </c>
      <c r="J30" s="50">
        <f>(46790+45200+79000+8800+67160+30000+58200+79371+26300)/100000</f>
        <v>4.40821</v>
      </c>
      <c r="K30" s="50">
        <f>SUM(G30:J30)</f>
        <v>17.47407</v>
      </c>
      <c r="L30" s="50">
        <f>+((C30+D30+E30+F30)-(G30+H30+I30+J30))*-1</f>
        <v>-7.52593</v>
      </c>
      <c r="M30" s="91">
        <f>+K30/B30</f>
        <v>0.6989628</v>
      </c>
      <c r="N30" s="92"/>
      <c r="O30" s="93"/>
    </row>
    <row r="31" spans="1:15">
      <c r="A31" s="54" t="s">
        <v>44</v>
      </c>
      <c r="B31" s="48">
        <f>SUM(C31:F31)</f>
        <v>150</v>
      </c>
      <c r="C31" s="35">
        <f t="shared" ref="C31:K31" si="8">SUM(C20:C30)</f>
        <v>33.75</v>
      </c>
      <c r="D31" s="48">
        <f>SUM(D20:D30)</f>
        <v>35.75</v>
      </c>
      <c r="E31" s="48">
        <f>SUM(E20:E30)</f>
        <v>43.25</v>
      </c>
      <c r="F31" s="48">
        <f>SUM(F20:F30)</f>
        <v>37.25</v>
      </c>
      <c r="G31" s="49">
        <f>SUM(G20:G30)</f>
        <v>43.00832</v>
      </c>
      <c r="H31" s="50">
        <f>SUM(H20:H30)</f>
        <v>26.77864</v>
      </c>
      <c r="I31" s="50">
        <f>SUM(I20:I30)</f>
        <v>23.22828</v>
      </c>
      <c r="J31" s="50">
        <f>SUM(J20:J30)</f>
        <v>24.02252</v>
      </c>
      <c r="K31" s="122">
        <f>SUM(K20:K30)</f>
        <v>117.03776</v>
      </c>
      <c r="L31" s="50">
        <f>+((C31+D31+E31+F31)-(G31+H31+I31+J31))*-1</f>
        <v>-32.96224</v>
      </c>
      <c r="M31" s="91">
        <f>+K31/B31</f>
        <v>0.780251733333333</v>
      </c>
      <c r="N31" s="92"/>
      <c r="O31" s="93"/>
    </row>
    <row r="32" spans="1:15">
      <c r="A32" s="55"/>
      <c r="B32" s="56"/>
      <c r="C32" s="57"/>
      <c r="N32" s="94"/>
      <c r="O32" s="95"/>
    </row>
    <row r="33" spans="14:15">
      <c r="N33" s="92"/>
      <c r="O33" s="93"/>
    </row>
    <row r="34" spans="14:15">
      <c r="N34" s="92"/>
      <c r="O34" s="93"/>
    </row>
    <row r="35" spans="2:15">
      <c r="B35" s="1"/>
      <c r="N35" s="92"/>
      <c r="O35" s="93"/>
    </row>
    <row r="36" spans="2:15">
      <c r="B36" s="1"/>
      <c r="N36" s="92"/>
      <c r="O36" s="93"/>
    </row>
    <row r="37" spans="2:15">
      <c r="B37" s="1"/>
      <c r="N37" s="92"/>
      <c r="O37" s="93"/>
    </row>
    <row r="38" spans="2:15">
      <c r="B38" s="1"/>
      <c r="N38" s="92"/>
      <c r="O38" s="93"/>
    </row>
    <row r="39" spans="2:15">
      <c r="B39" s="1"/>
      <c r="N39" s="92"/>
      <c r="O39" s="93"/>
    </row>
    <row r="40" spans="2:15">
      <c r="B40" s="1"/>
      <c r="N40" s="92"/>
      <c r="O40" s="93"/>
    </row>
    <row r="41" spans="2:15">
      <c r="B41" s="1"/>
      <c r="N41" s="92"/>
      <c r="O41" s="93"/>
    </row>
    <row r="42" spans="2:15">
      <c r="B42" s="1"/>
      <c r="N42" s="94"/>
      <c r="O42" s="95"/>
    </row>
    <row r="43" spans="2:15">
      <c r="B43" s="1"/>
      <c r="N43" s="92"/>
      <c r="O43" s="93"/>
    </row>
    <row r="44" spans="2:15">
      <c r="B44" s="1"/>
      <c r="N44" s="92"/>
      <c r="O44" s="93"/>
    </row>
    <row r="45" spans="2:15">
      <c r="B45" s="1"/>
      <c r="N45" s="92"/>
      <c r="O45" s="93"/>
    </row>
    <row r="46" spans="2:15">
      <c r="B46" s="1"/>
      <c r="N46" s="92"/>
      <c r="O46" s="93"/>
    </row>
    <row r="47" spans="2:15">
      <c r="B47" s="1"/>
      <c r="N47" s="92"/>
      <c r="O47" s="93"/>
    </row>
    <row r="48" spans="2:15">
      <c r="B48" s="1"/>
      <c r="N48" s="92"/>
      <c r="O48" s="93"/>
    </row>
    <row r="49" spans="2:15">
      <c r="B49" s="1"/>
      <c r="N49" s="92"/>
      <c r="O49" s="93"/>
    </row>
    <row r="50" spans="2:15">
      <c r="B50" s="1"/>
      <c r="N50" s="94"/>
      <c r="O50" s="95"/>
    </row>
    <row r="51" spans="2:15">
      <c r="B51" s="1"/>
      <c r="N51" s="92"/>
      <c r="O51" s="93"/>
    </row>
    <row r="52" spans="2:15">
      <c r="B52" s="1"/>
      <c r="N52" s="92"/>
      <c r="O52" s="93"/>
    </row>
    <row r="53" spans="2:15">
      <c r="B53" s="1"/>
      <c r="N53" s="92"/>
      <c r="O53" s="93"/>
    </row>
    <row r="54" spans="2:15">
      <c r="B54" s="1"/>
      <c r="N54" s="92"/>
      <c r="O54" s="93"/>
    </row>
    <row r="55" spans="2:15">
      <c r="B55" s="1"/>
      <c r="N55" s="92"/>
      <c r="O55" s="93"/>
    </row>
    <row r="56" spans="2:15">
      <c r="B56" s="1"/>
      <c r="N56" s="92"/>
      <c r="O56" s="93"/>
    </row>
    <row r="57" spans="2:15">
      <c r="B57" s="1"/>
      <c r="N57" s="92"/>
      <c r="O57" s="93"/>
    </row>
    <row r="58" spans="2:15">
      <c r="B58" s="1"/>
      <c r="N58" s="92"/>
      <c r="O58" s="96"/>
    </row>
  </sheetData>
  <mergeCells count="5">
    <mergeCell ref="D5:F5"/>
    <mergeCell ref="C6:F6"/>
    <mergeCell ref="G6:J6"/>
    <mergeCell ref="C18:F18"/>
    <mergeCell ref="G18:J18"/>
  </mergeCells>
  <pageMargins left="0.699305555555556" right="0.699305555555556" top="0.75" bottom="0.75" header="0.3" footer="0.3"/>
  <pageSetup paperSize="9" orientation="landscape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57"/>
  <sheetViews>
    <sheetView topLeftCell="A25" workbookViewId="0">
      <selection activeCell="K21" sqref="K21"/>
    </sheetView>
  </sheetViews>
  <sheetFormatPr defaultColWidth="9" defaultRowHeight="15"/>
  <cols>
    <col min="1" max="1" width="17.4285714285714" style="1" customWidth="1"/>
    <col min="2" max="2" width="9" style="2" customWidth="1"/>
    <col min="3" max="3" width="8.42857142857143" style="1" customWidth="1"/>
    <col min="4" max="4" width="8.57142857142857" style="1" customWidth="1"/>
    <col min="5" max="5" width="8.28571428571429" style="1" customWidth="1"/>
    <col min="6" max="6" width="8.71428571428571" style="1" customWidth="1"/>
    <col min="7" max="7" width="8.28571428571429" style="1" customWidth="1"/>
    <col min="8" max="8" width="8.85714285714286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ht="13.5" customHeight="1" spans="1:13">
      <c r="A1" s="3" t="s">
        <v>248</v>
      </c>
      <c r="B1" s="119" t="s">
        <v>249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spans="1:13">
      <c r="A2" s="6" t="s">
        <v>2</v>
      </c>
      <c r="B2" s="7">
        <f>+K16</f>
        <v>89.5</v>
      </c>
      <c r="C2" s="8"/>
      <c r="D2" s="8"/>
      <c r="E2" s="8"/>
      <c r="F2" s="8"/>
      <c r="G2" s="9"/>
      <c r="H2" s="10"/>
      <c r="I2" s="59"/>
      <c r="J2" s="10"/>
      <c r="K2" s="10"/>
      <c r="L2" s="10"/>
      <c r="M2" s="104"/>
    </row>
    <row r="3" ht="12" customHeight="1" spans="1:13">
      <c r="A3" s="6" t="s">
        <v>3</v>
      </c>
      <c r="B3" s="7">
        <f>+M16</f>
        <v>0</v>
      </c>
      <c r="C3" s="8"/>
      <c r="D3" s="8"/>
      <c r="E3" s="8"/>
      <c r="F3" s="8"/>
      <c r="G3" s="9"/>
      <c r="H3" s="10"/>
      <c r="I3" s="10"/>
      <c r="J3" s="10"/>
      <c r="K3" s="10"/>
      <c r="L3" s="61"/>
      <c r="M3" s="105"/>
    </row>
    <row r="4" spans="1:13">
      <c r="A4" s="6" t="s">
        <v>250</v>
      </c>
      <c r="B4" s="11"/>
      <c r="C4" s="12"/>
      <c r="D4" s="13" t="s">
        <v>5</v>
      </c>
      <c r="E4" s="12">
        <v>6.5</v>
      </c>
      <c r="F4" s="12"/>
      <c r="G4" s="14" t="s">
        <v>78</v>
      </c>
      <c r="H4" s="15"/>
      <c r="I4" s="62" t="s">
        <v>7</v>
      </c>
      <c r="J4" s="13">
        <f>+K30</f>
        <v>134.37939</v>
      </c>
      <c r="K4" s="12" t="s">
        <v>8</v>
      </c>
      <c r="L4" s="12" t="s">
        <v>85</v>
      </c>
      <c r="M4" s="106">
        <v>6.5</v>
      </c>
    </row>
    <row r="5" spans="1:13">
      <c r="A5" s="16" t="s">
        <v>10</v>
      </c>
      <c r="B5" s="17" t="s">
        <v>251</v>
      </c>
      <c r="C5" s="18" t="s">
        <v>252</v>
      </c>
      <c r="D5" s="19">
        <v>13777500</v>
      </c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2.5" customHeight="1" spans="1:13">
      <c r="A7" s="25" t="s">
        <v>16</v>
      </c>
      <c r="B7" s="25" t="s">
        <v>17</v>
      </c>
      <c r="C7" s="25" t="s">
        <v>228</v>
      </c>
      <c r="D7" s="25" t="s">
        <v>229</v>
      </c>
      <c r="E7" s="25" t="s">
        <v>230</v>
      </c>
      <c r="F7" s="25" t="s">
        <v>231</v>
      </c>
      <c r="G7" s="25" t="s">
        <v>228</v>
      </c>
      <c r="H7" s="25" t="s">
        <v>232</v>
      </c>
      <c r="I7" s="25" t="s">
        <v>233</v>
      </c>
      <c r="J7" s="25" t="s">
        <v>234</v>
      </c>
      <c r="K7" s="25" t="s">
        <v>22</v>
      </c>
      <c r="L7" s="25" t="s">
        <v>23</v>
      </c>
      <c r="M7" s="25" t="s">
        <v>24</v>
      </c>
    </row>
    <row r="8" spans="1:13">
      <c r="A8" s="29" t="s">
        <v>216</v>
      </c>
      <c r="B8" s="33">
        <f t="shared" ref="B8:B16" si="0">SUM(C8:F8)</f>
        <v>0</v>
      </c>
      <c r="C8" s="34">
        <v>0</v>
      </c>
      <c r="D8" s="34">
        <v>0</v>
      </c>
      <c r="E8" s="34">
        <v>0</v>
      </c>
      <c r="F8" s="34">
        <v>0</v>
      </c>
      <c r="G8" s="48"/>
      <c r="H8" s="48"/>
      <c r="I8" s="48"/>
      <c r="J8" s="48"/>
      <c r="K8" s="48">
        <f t="shared" ref="K8:K16" si="1">SUM(G8:J8)</f>
        <v>0</v>
      </c>
      <c r="L8" s="48">
        <f>+((C8+D8+E8+F8)-(G8+H8+I8+J8))*-1</f>
        <v>0</v>
      </c>
      <c r="M8" s="48"/>
    </row>
    <row r="9" spans="1:13">
      <c r="A9" s="29" t="s">
        <v>26</v>
      </c>
      <c r="B9" s="33">
        <f>SUM(C9:F9)</f>
        <v>25</v>
      </c>
      <c r="C9" s="34">
        <v>5</v>
      </c>
      <c r="D9" s="34">
        <v>8</v>
      </c>
      <c r="E9" s="34">
        <v>5</v>
      </c>
      <c r="F9" s="34">
        <v>7</v>
      </c>
      <c r="G9" s="48">
        <v>2</v>
      </c>
      <c r="H9" s="48">
        <v>2</v>
      </c>
      <c r="I9" s="48">
        <v>3</v>
      </c>
      <c r="J9" s="48">
        <v>2</v>
      </c>
      <c r="K9" s="48">
        <f>SUM(G9:J9)</f>
        <v>9</v>
      </c>
      <c r="L9" s="48">
        <f t="shared" ref="L9:L16" si="2">+((C9+D9+E9+F9)-(G9+H9+I9+J9))*-1</f>
        <v>-16</v>
      </c>
      <c r="M9" s="48"/>
    </row>
    <row r="10" spans="1:13">
      <c r="A10" s="114" t="s">
        <v>219</v>
      </c>
      <c r="B10" s="33">
        <f>SUM(C10:F10)</f>
        <v>25</v>
      </c>
      <c r="C10" s="34">
        <v>5</v>
      </c>
      <c r="D10" s="34">
        <v>7</v>
      </c>
      <c r="E10" s="34">
        <v>6</v>
      </c>
      <c r="F10" s="34">
        <v>7</v>
      </c>
      <c r="G10" s="48">
        <v>2</v>
      </c>
      <c r="H10" s="48">
        <v>3</v>
      </c>
      <c r="I10" s="48">
        <v>3</v>
      </c>
      <c r="J10" s="48">
        <v>4.5</v>
      </c>
      <c r="K10" s="48">
        <f>SUM(G10:J10)</f>
        <v>12.5</v>
      </c>
      <c r="L10" s="48">
        <f>+((C10+D10+E10+F10)-(G10+H10+I10+J10))*-1</f>
        <v>-12.5</v>
      </c>
      <c r="M10" s="48"/>
    </row>
    <row r="11" ht="15.75" customHeight="1" spans="1:13">
      <c r="A11" s="114" t="s">
        <v>166</v>
      </c>
      <c r="B11" s="33">
        <f>SUM(C11:F11)</f>
        <v>25</v>
      </c>
      <c r="C11" s="34">
        <v>5</v>
      </c>
      <c r="D11" s="34">
        <v>7</v>
      </c>
      <c r="E11" s="34">
        <v>6</v>
      </c>
      <c r="F11" s="34">
        <v>7</v>
      </c>
      <c r="G11" s="48">
        <v>1</v>
      </c>
      <c r="H11" s="48">
        <v>2</v>
      </c>
      <c r="I11" s="48">
        <v>2</v>
      </c>
      <c r="J11" s="48">
        <v>2</v>
      </c>
      <c r="K11" s="48">
        <f>SUM(G11:J11)</f>
        <v>7</v>
      </c>
      <c r="L11" s="48">
        <f>+((C11+D11+E11+F11)-(G11+H11+I11+J11))*-1</f>
        <v>-18</v>
      </c>
      <c r="M11" s="48"/>
    </row>
    <row r="12" spans="1:13">
      <c r="A12" s="114" t="s">
        <v>141</v>
      </c>
      <c r="B12" s="33">
        <f>SUM(C12:F12)</f>
        <v>25</v>
      </c>
      <c r="C12" s="34">
        <v>5</v>
      </c>
      <c r="D12" s="34">
        <v>7</v>
      </c>
      <c r="E12" s="34">
        <v>6</v>
      </c>
      <c r="F12" s="34">
        <v>7</v>
      </c>
      <c r="G12" s="48">
        <v>1</v>
      </c>
      <c r="H12" s="48">
        <v>1</v>
      </c>
      <c r="I12" s="48">
        <v>0.5</v>
      </c>
      <c r="J12" s="48">
        <v>1</v>
      </c>
      <c r="K12" s="48">
        <f>SUM(G12:J12)</f>
        <v>3.5</v>
      </c>
      <c r="L12" s="48">
        <f>+((C12+D12+E12+F12)-(G12+H12+I12+J12))*-1</f>
        <v>-21.5</v>
      </c>
      <c r="M12" s="48"/>
    </row>
    <row r="13" spans="1:13">
      <c r="A13" s="114" t="s">
        <v>167</v>
      </c>
      <c r="B13" s="33">
        <f>SUM(C13:F13)</f>
        <v>25</v>
      </c>
      <c r="C13" s="34">
        <v>5</v>
      </c>
      <c r="D13" s="34">
        <v>7</v>
      </c>
      <c r="E13" s="34">
        <v>6</v>
      </c>
      <c r="F13" s="34">
        <v>7</v>
      </c>
      <c r="G13" s="48">
        <v>0.5</v>
      </c>
      <c r="H13" s="48">
        <v>1.5</v>
      </c>
      <c r="I13" s="48">
        <v>0</v>
      </c>
      <c r="J13" s="48">
        <v>1</v>
      </c>
      <c r="K13" s="48">
        <f>SUM(G13:J13)</f>
        <v>3</v>
      </c>
      <c r="L13" s="48">
        <f>+((C13+D13+E13+F13)-(G13+H13+I13+J13))*-1</f>
        <v>-22</v>
      </c>
      <c r="M13" s="48"/>
    </row>
    <row r="14" spans="1:13">
      <c r="A14" s="114" t="s">
        <v>243</v>
      </c>
      <c r="B14" s="33">
        <f>SUM(C14:F14)</f>
        <v>25</v>
      </c>
      <c r="C14" s="34">
        <v>5</v>
      </c>
      <c r="D14" s="34">
        <v>5</v>
      </c>
      <c r="E14" s="34">
        <v>5</v>
      </c>
      <c r="F14" s="34">
        <v>10</v>
      </c>
      <c r="G14" s="48">
        <v>1</v>
      </c>
      <c r="H14" s="48">
        <v>3</v>
      </c>
      <c r="I14" s="48">
        <v>8</v>
      </c>
      <c r="J14" s="48">
        <v>8.5</v>
      </c>
      <c r="K14" s="48">
        <f>SUM(G14:J14)</f>
        <v>20.5</v>
      </c>
      <c r="L14" s="48">
        <f>+((C14+D14+E14+F14)-(G14+H14+I14+J14))*-1</f>
        <v>-4.5</v>
      </c>
      <c r="M14" s="48"/>
    </row>
    <row r="15" spans="1:13">
      <c r="A15" s="115" t="s">
        <v>38</v>
      </c>
      <c r="B15" s="33">
        <f>SUM(C15:F15)</f>
        <v>50</v>
      </c>
      <c r="C15" s="34">
        <v>10</v>
      </c>
      <c r="D15" s="34">
        <v>10</v>
      </c>
      <c r="E15" s="34">
        <v>10</v>
      </c>
      <c r="F15" s="34">
        <v>20</v>
      </c>
      <c r="G15" s="38">
        <v>8</v>
      </c>
      <c r="H15" s="35">
        <v>7</v>
      </c>
      <c r="I15" s="35">
        <v>6</v>
      </c>
      <c r="J15" s="35">
        <v>13</v>
      </c>
      <c r="K15" s="48">
        <f>SUM(G15:J15)</f>
        <v>34</v>
      </c>
      <c r="L15" s="48">
        <f>+((C15+D15+E15+F15)-(G15+H15+I15+J15))*-1</f>
        <v>-16</v>
      </c>
      <c r="M15" s="35"/>
    </row>
    <row r="16" spans="1:13">
      <c r="A16" s="117" t="s">
        <v>161</v>
      </c>
      <c r="B16" s="33">
        <f>SUM(C16:F16)</f>
        <v>200</v>
      </c>
      <c r="C16" s="41">
        <f t="shared" ref="C16:J16" si="3">SUM(C8:C15)</f>
        <v>40</v>
      </c>
      <c r="D16" s="41">
        <f>SUM(D8:D15)</f>
        <v>51</v>
      </c>
      <c r="E16" s="41">
        <f>SUM(E8:E15)</f>
        <v>44</v>
      </c>
      <c r="F16" s="41">
        <f>SUM(F8:F15)</f>
        <v>65</v>
      </c>
      <c r="G16" s="41">
        <f>SUM(G8:G15)</f>
        <v>15.5</v>
      </c>
      <c r="H16" s="41">
        <f>SUM(H8:H15)</f>
        <v>19.5</v>
      </c>
      <c r="I16" s="41">
        <f>SUM(I8:I15)</f>
        <v>22.5</v>
      </c>
      <c r="J16" s="41">
        <f>SUM(J8:J15)</f>
        <v>32</v>
      </c>
      <c r="K16" s="78">
        <f>SUM(G16:J16)</f>
        <v>89.5</v>
      </c>
      <c r="L16" s="48">
        <f>+((C16+D16+E16+F16)-(G16+H16+I16+J16))*-1</f>
        <v>-110.5</v>
      </c>
      <c r="M16" s="41">
        <f>SUM(M8:M15)</f>
        <v>0</v>
      </c>
    </row>
    <row r="17" spans="1:15">
      <c r="A17" s="42" t="s">
        <v>40</v>
      </c>
      <c r="B17" s="43"/>
      <c r="C17" s="44" t="s">
        <v>14</v>
      </c>
      <c r="D17" s="45"/>
      <c r="E17" s="45"/>
      <c r="F17" s="46"/>
      <c r="G17" s="44"/>
      <c r="H17" s="45"/>
      <c r="I17" s="45"/>
      <c r="J17" s="46"/>
      <c r="K17" s="83"/>
      <c r="L17" s="84"/>
      <c r="M17" s="84"/>
      <c r="N17" s="111"/>
      <c r="O17" s="90"/>
    </row>
    <row r="18" ht="25.5" spans="1:15">
      <c r="A18" s="47" t="s">
        <v>16</v>
      </c>
      <c r="B18" s="47" t="s">
        <v>17</v>
      </c>
      <c r="C18" s="47" t="s">
        <v>228</v>
      </c>
      <c r="D18" s="47" t="s">
        <v>232</v>
      </c>
      <c r="E18" s="47" t="s">
        <v>230</v>
      </c>
      <c r="F18" s="47" t="s">
        <v>234</v>
      </c>
      <c r="G18" s="47" t="s">
        <v>228</v>
      </c>
      <c r="H18" s="47" t="s">
        <v>235</v>
      </c>
      <c r="I18" s="47" t="s">
        <v>230</v>
      </c>
      <c r="J18" s="47" t="s">
        <v>234</v>
      </c>
      <c r="K18" s="47" t="s">
        <v>22</v>
      </c>
      <c r="L18" s="47" t="s">
        <v>41</v>
      </c>
      <c r="M18" s="47" t="s">
        <v>42</v>
      </c>
      <c r="N18" s="89"/>
      <c r="O18" s="90"/>
    </row>
    <row r="19" spans="1:15">
      <c r="A19" s="29" t="s">
        <v>221</v>
      </c>
      <c r="B19" s="48">
        <f>SUM(C19:F19)</f>
        <v>18.5</v>
      </c>
      <c r="C19" s="35">
        <v>4</v>
      </c>
      <c r="D19" s="34">
        <v>5</v>
      </c>
      <c r="E19" s="34">
        <v>4</v>
      </c>
      <c r="F19" s="34">
        <v>5.5</v>
      </c>
      <c r="G19" s="49">
        <f>(8700+15800+7800+53600+11200+23700+8500+23600+12700+16100+52600+37500+66980)/100000</f>
        <v>3.3878</v>
      </c>
      <c r="H19" s="50">
        <f>(44800+14800+6600+20250+7700+24700+36300+25300+12700+61600+27000+7800+34400+1800)/100000</f>
        <v>3.2575</v>
      </c>
      <c r="I19" s="50">
        <f>(7100+16100+4200+15800+1800+31700+9400+21200+6600+38500+31620+27100+44000)/100000</f>
        <v>2.5512</v>
      </c>
      <c r="J19" s="76">
        <f>(18300+15200+129100+18110+35500+9820+32400+27600+1000+45400+5900+48300)/100000</f>
        <v>3.8663</v>
      </c>
      <c r="K19" s="76">
        <f>SUM(G19:J19)</f>
        <v>13.0628</v>
      </c>
      <c r="L19" s="50">
        <f>+((C19+D19+E19+F19)-(G19+H19+I19+J19))*-1</f>
        <v>-5.4372</v>
      </c>
      <c r="M19" s="91">
        <f>+K19/B19</f>
        <v>0.706097297297297</v>
      </c>
      <c r="N19" s="89"/>
      <c r="O19" s="90"/>
    </row>
    <row r="20" spans="1:15">
      <c r="A20" s="29" t="s">
        <v>244</v>
      </c>
      <c r="B20" s="48">
        <f>SUM(C20:F20)</f>
        <v>13</v>
      </c>
      <c r="C20" s="35">
        <v>3</v>
      </c>
      <c r="D20" s="34">
        <v>3</v>
      </c>
      <c r="E20" s="34">
        <v>3</v>
      </c>
      <c r="F20" s="34">
        <v>4</v>
      </c>
      <c r="G20" s="49">
        <f>(29080+15880+19100+34200+50700+22900+18780+22100+18100+34600+10400+36600+47350+43910+78410)/100000</f>
        <v>4.8211</v>
      </c>
      <c r="H20" s="50">
        <f>(50000+20000+20000+10500+69200+21200+2200+61160+50650+54900+33000+11200)/100000</f>
        <v>4.0401</v>
      </c>
      <c r="I20" s="50">
        <f>(23700+70800+40600+200+41650+41300+26800+51400)/100000</f>
        <v>2.9645</v>
      </c>
      <c r="J20" s="50">
        <f>(10100+31100+17300+11800+21900+10050+19070+13900+26640+17200)/100000</f>
        <v>1.7906</v>
      </c>
      <c r="K20" s="50">
        <f t="shared" ref="K20:K29" si="4">SUM(G20:J20)</f>
        <v>13.6163</v>
      </c>
      <c r="L20" s="50">
        <f t="shared" ref="L20:L30" si="5">+((C20+D20+E20+F20)-(G20+H20+I20+J20))*-1</f>
        <v>0.616300000000001</v>
      </c>
      <c r="M20" s="91">
        <f t="shared" ref="M20:M30" si="6">+K20/B20</f>
        <v>1.04740769230769</v>
      </c>
      <c r="N20" s="89"/>
      <c r="O20" s="90"/>
    </row>
    <row r="21" spans="1:15">
      <c r="A21" s="29" t="s">
        <v>222</v>
      </c>
      <c r="B21" s="48">
        <f t="shared" ref="B21:B30" si="7">SUM(C21:F21)</f>
        <v>13.5</v>
      </c>
      <c r="C21" s="35">
        <v>3</v>
      </c>
      <c r="D21" s="34">
        <v>3</v>
      </c>
      <c r="E21" s="34">
        <v>3.5</v>
      </c>
      <c r="F21" s="34">
        <v>4</v>
      </c>
      <c r="G21" s="49">
        <f>(9100+23400+13750+21615+76800+3100+17700+9250+13100+36300+10200+11400+60480+200)/100000</f>
        <v>3.06395</v>
      </c>
      <c r="H21" s="50">
        <f>(28435+5400+89600+12300+15400+50000+11600+8900)/100000</f>
        <v>2.21635</v>
      </c>
      <c r="I21" s="50">
        <f>(120300+58900+19900+10400+28900+31400+9200+25000+12800)/100000</f>
        <v>3.168</v>
      </c>
      <c r="J21" s="50">
        <f>(11800+21900+10050+8200+23100+32000+10700+17800+155650)/100000</f>
        <v>2.912</v>
      </c>
      <c r="K21" s="50">
        <f>SUM(G21:J21)</f>
        <v>11.3603</v>
      </c>
      <c r="L21" s="50">
        <f>+((C21+D21+E21+F21)-(G21+H21+I21+J21))*-1</f>
        <v>-2.1397</v>
      </c>
      <c r="M21" s="91">
        <f>+K21/B21</f>
        <v>0.841503703703704</v>
      </c>
      <c r="N21" s="92"/>
      <c r="O21" s="93"/>
    </row>
    <row r="22" spans="1:15">
      <c r="A22" s="29" t="s">
        <v>223</v>
      </c>
      <c r="B22" s="48">
        <f>SUM(C22:F22)</f>
        <v>13</v>
      </c>
      <c r="C22" s="34">
        <v>3</v>
      </c>
      <c r="D22" s="34">
        <v>3</v>
      </c>
      <c r="E22" s="34">
        <v>3</v>
      </c>
      <c r="F22" s="34">
        <v>4</v>
      </c>
      <c r="G22" s="49">
        <f>(28800+25080+23000+42390+33900+33900+173200+40100)/100000</f>
        <v>4.0037</v>
      </c>
      <c r="H22" s="50">
        <f>(84500+29300+29480+32400+73400+31700+25700)/100000</f>
        <v>3.0648</v>
      </c>
      <c r="I22" s="50">
        <f>(35300+38650+48350+46500+46920+35300)/100000</f>
        <v>2.5102</v>
      </c>
      <c r="J22" s="50">
        <f>(69700+25600+223300+17400+19200+90900)/100000</f>
        <v>4.461</v>
      </c>
      <c r="K22" s="50">
        <f>SUM(G22:J22)</f>
        <v>14.0397</v>
      </c>
      <c r="L22" s="50">
        <f>+((C22+D22+E22+F22)-(G22+H22+I22+J22))*-1</f>
        <v>1.0397</v>
      </c>
      <c r="M22" s="91">
        <f>+K22/B22</f>
        <v>1.07997692307692</v>
      </c>
      <c r="N22" s="92"/>
      <c r="O22" s="93"/>
    </row>
    <row r="23" spans="1:15">
      <c r="A23" s="29" t="s">
        <v>29</v>
      </c>
      <c r="B23" s="48">
        <f>SUM(C23:F23)</f>
        <v>3</v>
      </c>
      <c r="C23" s="34">
        <v>0.5</v>
      </c>
      <c r="D23" s="34">
        <v>1</v>
      </c>
      <c r="E23" s="34">
        <v>0.75</v>
      </c>
      <c r="F23" s="34">
        <v>0.75</v>
      </c>
      <c r="G23" s="49">
        <f>(4000+12600+5000+7600)/100000</f>
        <v>0.292</v>
      </c>
      <c r="H23" s="50">
        <f>(44000+7500+4000+4600+6000)/100000</f>
        <v>0.661</v>
      </c>
      <c r="I23" s="50">
        <f>(75400+5000)/100000</f>
        <v>0.804</v>
      </c>
      <c r="J23" s="50">
        <f>(13800+7000+17600+6000)/100000</f>
        <v>0.444</v>
      </c>
      <c r="K23" s="50">
        <f>SUM(G23:J23)</f>
        <v>2.201</v>
      </c>
      <c r="L23" s="50">
        <f>+((C23+D23+E23+F23)-(G23+H23+I23+J23))*-1</f>
        <v>-0.799</v>
      </c>
      <c r="M23" s="91">
        <f>+K23/B23</f>
        <v>0.733666666666667</v>
      </c>
      <c r="N23" s="92"/>
      <c r="O23" s="93"/>
    </row>
    <row r="24" spans="1:15">
      <c r="A24" s="51" t="s">
        <v>196</v>
      </c>
      <c r="B24" s="48">
        <f>SUM(C24:F24)</f>
        <v>12.5</v>
      </c>
      <c r="C24" s="35">
        <v>2.5</v>
      </c>
      <c r="D24" s="52">
        <v>3</v>
      </c>
      <c r="E24" s="52">
        <v>3</v>
      </c>
      <c r="F24" s="52">
        <v>4</v>
      </c>
      <c r="G24" s="49">
        <f>(42800+42700+25500+67500+53100+50800+35600+44600)/100000</f>
        <v>3.626</v>
      </c>
      <c r="H24" s="50">
        <f>(43750+44100+43800+66900+52700+61300+31200)/100000</f>
        <v>3.4375</v>
      </c>
      <c r="I24" s="50">
        <f>(30700+49600+45900+72700+39000+38500)/100000</f>
        <v>2.764</v>
      </c>
      <c r="J24" s="50">
        <f>(51400+33250+33450+28800+34680+48630)/100000</f>
        <v>2.3021</v>
      </c>
      <c r="K24" s="50">
        <f>SUM(G24:J24)</f>
        <v>12.1296</v>
      </c>
      <c r="L24" s="50">
        <f>+((C24+D24+E24+F24)-(G24+H24+I24+J24))*-1</f>
        <v>-0.370400000000002</v>
      </c>
      <c r="M24" s="91">
        <f>+K24/B24</f>
        <v>0.970368</v>
      </c>
      <c r="N24" s="94"/>
      <c r="O24" s="95"/>
    </row>
    <row r="25" spans="1:15">
      <c r="A25" s="51" t="s">
        <v>197</v>
      </c>
      <c r="B25" s="48">
        <f>SUM(C25:F25)</f>
        <v>15</v>
      </c>
      <c r="C25" s="35">
        <v>3.25</v>
      </c>
      <c r="D25" s="52">
        <v>4</v>
      </c>
      <c r="E25" s="52">
        <v>3.25</v>
      </c>
      <c r="F25" s="52">
        <v>4.5</v>
      </c>
      <c r="G25" s="49">
        <f>(31550+64100+40640+50150+153300+47700+90400+41550)/100000</f>
        <v>5.1939</v>
      </c>
      <c r="H25" s="50">
        <f>(122600+51600+75750+97550+99500+74040)/100000</f>
        <v>5.2104</v>
      </c>
      <c r="I25" s="50">
        <f>(37850+92150+72150+97635+36850+42000)/100000</f>
        <v>3.78635</v>
      </c>
      <c r="J25" s="50">
        <f>(78100+54000+28850+29100+34680+23050)/100000</f>
        <v>2.4778</v>
      </c>
      <c r="K25" s="50">
        <f>SUM(G25:J25)</f>
        <v>16.66845</v>
      </c>
      <c r="L25" s="50">
        <f>+((C25+D25+E25+F25)-(G25+H25+I25+J25))*-1</f>
        <v>1.66845</v>
      </c>
      <c r="M25" s="91">
        <f>+K25/B25</f>
        <v>1.11123</v>
      </c>
      <c r="N25" s="92"/>
      <c r="O25" s="93"/>
    </row>
    <row r="26" spans="1:15">
      <c r="A26" s="51" t="s">
        <v>198</v>
      </c>
      <c r="B26" s="48">
        <f>SUM(C26:F26)</f>
        <v>11.5</v>
      </c>
      <c r="C26" s="35">
        <v>3</v>
      </c>
      <c r="D26" s="52">
        <v>3</v>
      </c>
      <c r="E26" s="52">
        <v>2</v>
      </c>
      <c r="F26" s="52">
        <v>3.5</v>
      </c>
      <c r="G26" s="49">
        <f>(31000+38500+30200+53200+63950+112600+43900+87200)/100000</f>
        <v>4.6055</v>
      </c>
      <c r="H26" s="50">
        <f>(142700+90390+45000+45900+52950+21700+37600+25800)/100000</f>
        <v>4.6204</v>
      </c>
      <c r="I26" s="50">
        <f>(29500+98440+60900+46765+69400+55200)/100000</f>
        <v>3.60205</v>
      </c>
      <c r="J26" s="50">
        <f>(102280+43900+39100)/100000</f>
        <v>1.8528</v>
      </c>
      <c r="K26" s="50">
        <f>SUM(G26:J26)</f>
        <v>14.68075</v>
      </c>
      <c r="L26" s="50">
        <f>+((C26+D26+E26+F26)-(G26+H26+I26+J26))*-1</f>
        <v>3.18075</v>
      </c>
      <c r="M26" s="91">
        <f>+K26/B26</f>
        <v>1.27658695652174</v>
      </c>
      <c r="N26" s="92"/>
      <c r="O26" s="93"/>
    </row>
    <row r="27" spans="1:15">
      <c r="A27" s="51" t="s">
        <v>199</v>
      </c>
      <c r="B27" s="48">
        <f>SUM(C27:F27)</f>
        <v>12</v>
      </c>
      <c r="C27" s="35">
        <v>3</v>
      </c>
      <c r="D27" s="52">
        <v>3</v>
      </c>
      <c r="E27" s="52">
        <v>2</v>
      </c>
      <c r="F27" s="52">
        <v>4</v>
      </c>
      <c r="G27" s="49">
        <f>(27200+17200+20400+63100+96200+15800+108100+112000)/100000</f>
        <v>4.6</v>
      </c>
      <c r="H27" s="50">
        <f>(12150+36500+38051+30000+40510+30150+14000)/100000</f>
        <v>2.01361</v>
      </c>
      <c r="I27" s="50">
        <f>(32100+182700+19300+43350+15550+24800)/100000</f>
        <v>3.178</v>
      </c>
      <c r="J27" s="50">
        <f>(24100+42200+58400+74700+17600+16500)/100000</f>
        <v>2.335</v>
      </c>
      <c r="K27" s="50">
        <f>SUM(G27:J27)</f>
        <v>12.12661</v>
      </c>
      <c r="L27" s="50">
        <f>+((C27+D27+E27+F27)-(G27+H27+I27+J27))*-1</f>
        <v>0.126609999999999</v>
      </c>
      <c r="M27" s="91">
        <f>+K27/B27</f>
        <v>1.01055083333333</v>
      </c>
      <c r="N27" s="92"/>
      <c r="O27" s="93"/>
    </row>
    <row r="28" spans="1:15">
      <c r="A28" s="53" t="s">
        <v>35</v>
      </c>
      <c r="B28" s="48">
        <f>SUM(C28:F28)</f>
        <v>4</v>
      </c>
      <c r="C28" s="35">
        <v>1</v>
      </c>
      <c r="D28" s="52">
        <v>1</v>
      </c>
      <c r="E28" s="52">
        <v>1</v>
      </c>
      <c r="F28" s="52">
        <v>1</v>
      </c>
      <c r="G28" s="49"/>
      <c r="H28" s="50">
        <f>(39600)/100000</f>
        <v>0.396</v>
      </c>
      <c r="I28" s="50"/>
      <c r="J28" s="50"/>
      <c r="K28" s="50">
        <f>SUM(G28:J28)</f>
        <v>0.396</v>
      </c>
      <c r="L28" s="50">
        <f>+((C28+D28+E28+F28)-(G28+H28+I28+J28))*-1</f>
        <v>-3.604</v>
      </c>
      <c r="M28" s="91">
        <f>+K28/B28</f>
        <v>0.099</v>
      </c>
      <c r="N28" s="92"/>
      <c r="O28" s="93"/>
    </row>
    <row r="29" spans="1:15">
      <c r="A29" s="53" t="s">
        <v>38</v>
      </c>
      <c r="B29" s="48">
        <f>SUM(C29:F29)</f>
        <v>24</v>
      </c>
      <c r="C29" s="35">
        <v>5</v>
      </c>
      <c r="D29" s="52">
        <v>6</v>
      </c>
      <c r="E29" s="52">
        <v>6</v>
      </c>
      <c r="F29" s="52">
        <v>7</v>
      </c>
      <c r="G29" s="49">
        <f>(4400+72400+137600+15600+21500+22200+475285+71100+33550+292385)/100000</f>
        <v>11.4602</v>
      </c>
      <c r="H29" s="50">
        <f>(76000+21300+11000+37620+50000+37300+2520+31450+22000+3000+51690)/100000</f>
        <v>3.4388</v>
      </c>
      <c r="I29" s="50">
        <f>(21900+23310+481+4800+59365+47525+20000+5000+17917+120000+37005)/100000</f>
        <v>3.57303</v>
      </c>
      <c r="J29" s="50">
        <f>(89400+19102+22000+8710+7500+2300+11000+20367+21400+89600+22800+221324+27082)/100000</f>
        <v>5.62585</v>
      </c>
      <c r="K29" s="50">
        <f>SUM(G29:J29)</f>
        <v>24.09788</v>
      </c>
      <c r="L29" s="50">
        <f>+((C29+D29+E29+F29)-(G29+H29+I29+J29))*-1</f>
        <v>0.09788</v>
      </c>
      <c r="M29" s="91">
        <f>+K29/B29</f>
        <v>1.00407833333333</v>
      </c>
      <c r="N29" s="92"/>
      <c r="O29" s="93"/>
    </row>
    <row r="30" spans="1:15">
      <c r="A30" s="54" t="s">
        <v>44</v>
      </c>
      <c r="B30" s="48">
        <f>SUM(C30:F30)</f>
        <v>140</v>
      </c>
      <c r="C30" s="35">
        <f t="shared" ref="C30:K30" si="8">SUM(C19:C29)</f>
        <v>31.25</v>
      </c>
      <c r="D30" s="48">
        <f>SUM(D19:D29)</f>
        <v>35</v>
      </c>
      <c r="E30" s="48">
        <f>SUM(E19:E29)</f>
        <v>31.5</v>
      </c>
      <c r="F30" s="48">
        <f>SUM(F19:F29)</f>
        <v>42.25</v>
      </c>
      <c r="G30" s="49">
        <f>SUM(G19:G29)</f>
        <v>45.05415</v>
      </c>
      <c r="H30" s="50">
        <f>SUM(H19:H29)</f>
        <v>32.35646</v>
      </c>
      <c r="I30" s="50">
        <f>SUM(I19:I29)</f>
        <v>28.90133</v>
      </c>
      <c r="J30" s="50">
        <f>SUM(J19:J29)</f>
        <v>28.06745</v>
      </c>
      <c r="K30" s="122">
        <f>SUM(K19:K29)</f>
        <v>134.37939</v>
      </c>
      <c r="L30" s="50">
        <f>+((C30+D30+E30+F30)-(G30+H30+I30+J30))*-1</f>
        <v>-5.62061</v>
      </c>
      <c r="M30" s="91">
        <f>+K30/B30</f>
        <v>0.959852785714286</v>
      </c>
      <c r="N30" s="92"/>
      <c r="O30" s="93"/>
    </row>
    <row r="31" spans="1:15">
      <c r="A31" s="55"/>
      <c r="B31" s="56"/>
      <c r="C31" s="57"/>
      <c r="N31" s="94"/>
      <c r="O31" s="95"/>
    </row>
    <row r="32" spans="14:15">
      <c r="N32" s="92"/>
      <c r="O32" s="93"/>
    </row>
    <row r="33" spans="14:15">
      <c r="N33" s="92"/>
      <c r="O33" s="93"/>
    </row>
    <row r="34" spans="2:15">
      <c r="B34" s="1"/>
      <c r="N34" s="92"/>
      <c r="O34" s="93"/>
    </row>
    <row r="35" spans="2:15">
      <c r="B35" s="1"/>
      <c r="N35" s="92"/>
      <c r="O35" s="93"/>
    </row>
    <row r="36" spans="2:15">
      <c r="B36" s="1"/>
      <c r="N36" s="92"/>
      <c r="O36" s="93"/>
    </row>
    <row r="37" spans="2:15">
      <c r="B37" s="1"/>
      <c r="N37" s="92"/>
      <c r="O37" s="93"/>
    </row>
    <row r="38" spans="2:15">
      <c r="B38" s="1"/>
      <c r="N38" s="92"/>
      <c r="O38" s="93"/>
    </row>
    <row r="39" spans="2:15">
      <c r="B39" s="1"/>
      <c r="N39" s="92"/>
      <c r="O39" s="93"/>
    </row>
    <row r="40" spans="2:15">
      <c r="B40" s="1"/>
      <c r="N40" s="92"/>
      <c r="O40" s="93"/>
    </row>
    <row r="41" spans="2:15">
      <c r="B41" s="1"/>
      <c r="N41" s="94"/>
      <c r="O41" s="95"/>
    </row>
    <row r="42" spans="2:15">
      <c r="B42" s="1"/>
      <c r="N42" s="92"/>
      <c r="O42" s="93"/>
    </row>
    <row r="43" spans="2:15">
      <c r="B43" s="1"/>
      <c r="N43" s="92"/>
      <c r="O43" s="93"/>
    </row>
    <row r="44" spans="2:15">
      <c r="B44" s="1"/>
      <c r="N44" s="92"/>
      <c r="O44" s="93"/>
    </row>
    <row r="45" spans="2:15">
      <c r="B45" s="1"/>
      <c r="N45" s="92"/>
      <c r="O45" s="93"/>
    </row>
    <row r="46" spans="2:15">
      <c r="B46" s="1"/>
      <c r="N46" s="92"/>
      <c r="O46" s="93"/>
    </row>
    <row r="47" spans="2:15">
      <c r="B47" s="1"/>
      <c r="N47" s="92"/>
      <c r="O47" s="93"/>
    </row>
    <row r="48" spans="2:15">
      <c r="B48" s="1"/>
      <c r="N48" s="92"/>
      <c r="O48" s="93"/>
    </row>
    <row r="49" spans="2:15">
      <c r="B49" s="1"/>
      <c r="N49" s="94"/>
      <c r="O49" s="95"/>
    </row>
    <row r="50" spans="2:15">
      <c r="B50" s="1"/>
      <c r="N50" s="92"/>
      <c r="O50" s="93"/>
    </row>
    <row r="51" spans="2:15">
      <c r="B51" s="1"/>
      <c r="N51" s="92"/>
      <c r="O51" s="93"/>
    </row>
    <row r="52" spans="2:15">
      <c r="B52" s="1"/>
      <c r="N52" s="92"/>
      <c r="O52" s="93"/>
    </row>
    <row r="53" spans="2:15">
      <c r="B53" s="1"/>
      <c r="N53" s="92"/>
      <c r="O53" s="93"/>
    </row>
    <row r="54" spans="2:15">
      <c r="B54" s="1"/>
      <c r="N54" s="92"/>
      <c r="O54" s="93"/>
    </row>
    <row r="55" spans="2:15">
      <c r="B55" s="1"/>
      <c r="N55" s="92"/>
      <c r="O55" s="93"/>
    </row>
    <row r="56" spans="2:15">
      <c r="B56" s="1"/>
      <c r="N56" s="92"/>
      <c r="O56" s="93"/>
    </row>
    <row r="57" spans="2:15">
      <c r="B57" s="1"/>
      <c r="N57" s="92"/>
      <c r="O57" s="96"/>
    </row>
  </sheetData>
  <mergeCells count="6">
    <mergeCell ref="B1:M1"/>
    <mergeCell ref="D5:F5"/>
    <mergeCell ref="C6:F6"/>
    <mergeCell ref="G6:J6"/>
    <mergeCell ref="C17:F17"/>
    <mergeCell ref="G17:J17"/>
  </mergeCells>
  <pageMargins left="0.699305555555556" right="0.699305555555556" top="0.75" bottom="0.75" header="0.3" footer="0.3"/>
  <pageSetup paperSize="9" orientation="landscape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69"/>
  <sheetViews>
    <sheetView topLeftCell="A2" workbookViewId="0">
      <selection activeCell="J29" sqref="J29"/>
    </sheetView>
  </sheetViews>
  <sheetFormatPr defaultColWidth="9" defaultRowHeight="15"/>
  <cols>
    <col min="1" max="1" width="17.4285714285714" style="1" customWidth="1"/>
    <col min="2" max="2" width="9" style="2" customWidth="1"/>
    <col min="3" max="3" width="8.42857142857143" style="1" customWidth="1"/>
    <col min="4" max="4" width="8.57142857142857" style="1" customWidth="1"/>
    <col min="5" max="5" width="8.28571428571429" style="1" customWidth="1"/>
    <col min="6" max="6" width="8.71428571428571" style="1" customWidth="1"/>
    <col min="7" max="7" width="8.28571428571429" style="1" customWidth="1"/>
    <col min="8" max="8" width="8.85714285714286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ht="13.5" customHeight="1" spans="1:13">
      <c r="A1" s="3" t="s">
        <v>253</v>
      </c>
      <c r="B1" s="4" t="s">
        <v>254</v>
      </c>
      <c r="C1" s="5"/>
      <c r="D1" s="5"/>
      <c r="E1" s="5"/>
      <c r="F1" s="5"/>
      <c r="G1" s="5"/>
      <c r="H1" s="5"/>
      <c r="I1" s="5"/>
      <c r="J1" s="5"/>
      <c r="K1" s="5"/>
      <c r="L1" s="5"/>
      <c r="M1" s="58"/>
    </row>
    <row r="2" spans="1:13">
      <c r="A2" s="6" t="s">
        <v>2</v>
      </c>
      <c r="B2" s="7">
        <f>+K24</f>
        <v>138</v>
      </c>
      <c r="C2" s="8"/>
      <c r="D2" s="8"/>
      <c r="E2" s="8"/>
      <c r="F2" s="8"/>
      <c r="G2" s="9"/>
      <c r="H2" s="10"/>
      <c r="I2" s="59"/>
      <c r="J2" s="10"/>
      <c r="K2" s="10"/>
      <c r="L2" s="10"/>
      <c r="M2" s="104"/>
    </row>
    <row r="3" ht="12" customHeight="1" spans="1:13">
      <c r="A3" s="6" t="s">
        <v>3</v>
      </c>
      <c r="B3" s="7">
        <f>+M24</f>
        <v>0</v>
      </c>
      <c r="C3" s="8"/>
      <c r="D3" s="8"/>
      <c r="E3" s="8"/>
      <c r="F3" s="8"/>
      <c r="G3" s="9"/>
      <c r="H3" s="10"/>
      <c r="I3" s="10"/>
      <c r="J3" s="10"/>
      <c r="K3" s="10"/>
      <c r="L3" s="61"/>
      <c r="M3" s="105"/>
    </row>
    <row r="4" spans="1:13">
      <c r="A4" s="6" t="s">
        <v>255</v>
      </c>
      <c r="B4" s="11"/>
      <c r="C4" s="12"/>
      <c r="D4" s="13" t="s">
        <v>5</v>
      </c>
      <c r="E4" s="12">
        <v>4</v>
      </c>
      <c r="F4" s="12"/>
      <c r="G4" s="14" t="s">
        <v>78</v>
      </c>
      <c r="H4" s="15"/>
      <c r="I4" s="62" t="s">
        <v>7</v>
      </c>
      <c r="J4" s="13">
        <f>+K42</f>
        <v>131.52661</v>
      </c>
      <c r="K4" s="12" t="s">
        <v>8</v>
      </c>
      <c r="L4" s="12" t="s">
        <v>256</v>
      </c>
      <c r="M4" s="106"/>
    </row>
    <row r="5" spans="1:13">
      <c r="A5" s="16" t="s">
        <v>10</v>
      </c>
      <c r="B5" s="17" t="s">
        <v>257</v>
      </c>
      <c r="C5" s="18" t="s">
        <v>258</v>
      </c>
      <c r="D5" s="19"/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2.5" customHeight="1" spans="1:13">
      <c r="A7" s="25" t="s">
        <v>16</v>
      </c>
      <c r="B7" s="25" t="s">
        <v>17</v>
      </c>
      <c r="C7" s="25" t="s">
        <v>18</v>
      </c>
      <c r="D7" s="25" t="s">
        <v>179</v>
      </c>
      <c r="E7" s="25" t="s">
        <v>123</v>
      </c>
      <c r="F7" s="25" t="s">
        <v>130</v>
      </c>
      <c r="G7" s="25" t="s">
        <v>18</v>
      </c>
      <c r="H7" s="25" t="s">
        <v>122</v>
      </c>
      <c r="I7" s="25" t="s">
        <v>155</v>
      </c>
      <c r="J7" s="25" t="s">
        <v>131</v>
      </c>
      <c r="K7" s="25" t="s">
        <v>22</v>
      </c>
      <c r="L7" s="25" t="s">
        <v>23</v>
      </c>
      <c r="M7" s="25" t="s">
        <v>24</v>
      </c>
    </row>
    <row r="8" spans="1:13">
      <c r="A8" s="29" t="s">
        <v>26</v>
      </c>
      <c r="B8" s="33">
        <f t="shared" ref="B8:B24" si="0">SUM(C8:F8)</f>
        <v>25</v>
      </c>
      <c r="C8" s="34">
        <v>5</v>
      </c>
      <c r="D8" s="34">
        <v>8</v>
      </c>
      <c r="E8" s="34">
        <v>5</v>
      </c>
      <c r="F8" s="34">
        <v>7</v>
      </c>
      <c r="G8" s="48">
        <v>3</v>
      </c>
      <c r="H8" s="48">
        <v>1</v>
      </c>
      <c r="I8" s="48">
        <v>9</v>
      </c>
      <c r="J8" s="48">
        <v>8</v>
      </c>
      <c r="K8" s="48">
        <f t="shared" ref="K8:K24" si="1">SUM(G8:J8)</f>
        <v>21</v>
      </c>
      <c r="L8" s="48">
        <f>+((C8+D8+E8+F8)-(G8+H8+I8+J8))*-1</f>
        <v>-4</v>
      </c>
      <c r="M8" s="48"/>
    </row>
    <row r="9" spans="1:13">
      <c r="A9" s="29" t="s">
        <v>259</v>
      </c>
      <c r="B9" s="33">
        <f>SUM(C9:F9)</f>
        <v>25</v>
      </c>
      <c r="C9" s="34">
        <v>5</v>
      </c>
      <c r="D9" s="34">
        <v>7</v>
      </c>
      <c r="E9" s="34">
        <v>5</v>
      </c>
      <c r="F9" s="34">
        <v>8</v>
      </c>
      <c r="G9" s="48"/>
      <c r="H9" s="48">
        <v>2</v>
      </c>
      <c r="I9" s="48">
        <v>10</v>
      </c>
      <c r="J9" s="48">
        <v>5.5</v>
      </c>
      <c r="K9" s="48">
        <f>SUM(G9:J9)</f>
        <v>17.5</v>
      </c>
      <c r="L9" s="48">
        <f t="shared" ref="L9:L24" si="2">+((C9+D9+E9+F9)-(G9+H9+I9+J9))*-1</f>
        <v>-7.5</v>
      </c>
      <c r="M9" s="48"/>
    </row>
    <row r="10" spans="1:17">
      <c r="A10" s="29" t="s">
        <v>260</v>
      </c>
      <c r="B10" s="33">
        <f>SUM(C10:F10)</f>
        <v>25</v>
      </c>
      <c r="C10" s="34">
        <v>7</v>
      </c>
      <c r="D10" s="34">
        <v>5</v>
      </c>
      <c r="E10" s="34">
        <v>7</v>
      </c>
      <c r="F10" s="34">
        <v>6</v>
      </c>
      <c r="G10" s="48">
        <v>8</v>
      </c>
      <c r="H10" s="48">
        <v>1</v>
      </c>
      <c r="I10" s="48"/>
      <c r="J10" s="48">
        <v>16</v>
      </c>
      <c r="K10" s="48">
        <f>SUM(G10:J10)</f>
        <v>25</v>
      </c>
      <c r="L10" s="48">
        <f>+((C10+D10+E10+F10)-(G10+H10+I10+J10))*-1</f>
        <v>0</v>
      </c>
      <c r="M10" s="48"/>
      <c r="Q10"/>
    </row>
    <row r="11" spans="1:13">
      <c r="A11" s="114" t="s">
        <v>141</v>
      </c>
      <c r="B11" s="33">
        <f>SUM(C11:F11)</f>
        <v>25</v>
      </c>
      <c r="C11" s="34">
        <v>5</v>
      </c>
      <c r="D11" s="34">
        <v>5</v>
      </c>
      <c r="E11" s="34">
        <v>7</v>
      </c>
      <c r="F11" s="34">
        <v>8</v>
      </c>
      <c r="G11" s="48">
        <v>4</v>
      </c>
      <c r="H11" s="48">
        <v>0.5</v>
      </c>
      <c r="I11" s="48">
        <v>2</v>
      </c>
      <c r="J11" s="48">
        <v>10.5</v>
      </c>
      <c r="K11" s="48">
        <f>SUM(G11:J11)</f>
        <v>17</v>
      </c>
      <c r="L11" s="48">
        <f>+((C11+D11+E11+F11)-(G11+H11+I11+J11))*-1</f>
        <v>-8</v>
      </c>
      <c r="M11" s="48"/>
    </row>
    <row r="12" ht="15.75" customHeight="1" spans="1:13">
      <c r="A12" s="114" t="s">
        <v>261</v>
      </c>
      <c r="B12" s="33">
        <f>SUM(C12:F12)</f>
        <v>10</v>
      </c>
      <c r="C12" s="34">
        <v>2</v>
      </c>
      <c r="D12" s="34">
        <v>3</v>
      </c>
      <c r="E12" s="34">
        <v>2</v>
      </c>
      <c r="F12" s="34">
        <v>3</v>
      </c>
      <c r="G12" s="48">
        <v>1</v>
      </c>
      <c r="H12" s="48">
        <v>2</v>
      </c>
      <c r="I12" s="48">
        <v>1</v>
      </c>
      <c r="J12" s="48">
        <v>1.5</v>
      </c>
      <c r="K12" s="48">
        <f>SUM(G12:J12)</f>
        <v>5.5</v>
      </c>
      <c r="L12" s="48">
        <f>+((C12+D12+E12+F12)-(G12+H12+I12+J12))*-1</f>
        <v>-4.5</v>
      </c>
      <c r="M12" s="48"/>
    </row>
    <row r="13" spans="1:13">
      <c r="A13" s="114" t="s">
        <v>262</v>
      </c>
      <c r="B13" s="33">
        <f>SUM(C13:F13)</f>
        <v>10</v>
      </c>
      <c r="C13" s="34">
        <v>2</v>
      </c>
      <c r="D13" s="34">
        <v>2</v>
      </c>
      <c r="E13" s="34">
        <v>3</v>
      </c>
      <c r="F13" s="34">
        <v>3</v>
      </c>
      <c r="G13" s="48"/>
      <c r="H13" s="48">
        <v>3</v>
      </c>
      <c r="I13" s="48"/>
      <c r="J13" s="48">
        <v>2</v>
      </c>
      <c r="K13" s="48">
        <f>SUM(G13:J13)</f>
        <v>5</v>
      </c>
      <c r="L13" s="48">
        <f>+((C13+D13+E13+F13)-(G13+H13+I13+J13))*-1</f>
        <v>-5</v>
      </c>
      <c r="M13" s="48"/>
    </row>
    <row r="14" spans="1:13">
      <c r="A14" s="114" t="s">
        <v>263</v>
      </c>
      <c r="B14" s="33">
        <f>SUM(C14:F14)</f>
        <v>10</v>
      </c>
      <c r="C14" s="34">
        <v>2</v>
      </c>
      <c r="D14" s="34">
        <v>2</v>
      </c>
      <c r="E14" s="34">
        <v>3</v>
      </c>
      <c r="F14" s="34">
        <v>3</v>
      </c>
      <c r="G14" s="48"/>
      <c r="H14" s="48"/>
      <c r="I14" s="48">
        <v>1</v>
      </c>
      <c r="J14" s="48"/>
      <c r="K14" s="48">
        <f>SUM(G14:J14)</f>
        <v>1</v>
      </c>
      <c r="L14" s="48">
        <f>+((C14+D14+E14+F14)-(G14+H14+I14+J14))*-1</f>
        <v>-9</v>
      </c>
      <c r="M14" s="48"/>
    </row>
    <row r="15" spans="1:13">
      <c r="A15" s="114" t="s">
        <v>172</v>
      </c>
      <c r="B15" s="33">
        <f>SUM(C15:F15)</f>
        <v>10</v>
      </c>
      <c r="C15" s="34">
        <v>1</v>
      </c>
      <c r="D15" s="34">
        <v>2</v>
      </c>
      <c r="E15" s="34">
        <v>3</v>
      </c>
      <c r="F15" s="34">
        <v>4</v>
      </c>
      <c r="G15" s="48"/>
      <c r="H15" s="48">
        <v>0.5</v>
      </c>
      <c r="I15" s="48">
        <v>0.5</v>
      </c>
      <c r="J15" s="48"/>
      <c r="K15" s="48">
        <f>SUM(G15:J15)</f>
        <v>1</v>
      </c>
      <c r="L15" s="48">
        <f>+((C15+D15+E15+F15)-(G15+H15+I15+J15))*-1</f>
        <v>-9</v>
      </c>
      <c r="M15" s="48"/>
    </row>
    <row r="16" spans="1:13">
      <c r="A16" s="114" t="s">
        <v>264</v>
      </c>
      <c r="B16" s="33">
        <f>SUM(C16:F16)</f>
        <v>10</v>
      </c>
      <c r="C16" s="34">
        <v>1</v>
      </c>
      <c r="D16" s="34">
        <v>2</v>
      </c>
      <c r="E16" s="34">
        <v>3</v>
      </c>
      <c r="F16" s="34">
        <v>4</v>
      </c>
      <c r="G16" s="48"/>
      <c r="H16" s="48"/>
      <c r="I16" s="48"/>
      <c r="J16" s="48"/>
      <c r="K16" s="48">
        <f>SUM(G16:J16)</f>
        <v>0</v>
      </c>
      <c r="L16" s="48">
        <f>+((C16+D16+E16+F16)-(G16+H16+I16+J16))*-1</f>
        <v>-10</v>
      </c>
      <c r="M16" s="48"/>
    </row>
    <row r="17" spans="1:13">
      <c r="A17" s="114" t="s">
        <v>265</v>
      </c>
      <c r="B17" s="33">
        <f>SUM(C17:F17)</f>
        <v>10</v>
      </c>
      <c r="C17" s="34">
        <v>2</v>
      </c>
      <c r="D17" s="34">
        <v>2</v>
      </c>
      <c r="E17" s="34">
        <v>3</v>
      </c>
      <c r="F17" s="34">
        <v>3</v>
      </c>
      <c r="G17" s="48"/>
      <c r="H17" s="48"/>
      <c r="I17" s="48"/>
      <c r="J17" s="48"/>
      <c r="K17" s="48">
        <f>SUM(G17:J17)</f>
        <v>0</v>
      </c>
      <c r="L17" s="48">
        <f>+((C17+D17+E17+F17)-(G17+H17+I17+J17))*-1</f>
        <v>-10</v>
      </c>
      <c r="M17" s="48"/>
    </row>
    <row r="18" spans="1:13">
      <c r="A18" s="114" t="s">
        <v>266</v>
      </c>
      <c r="B18" s="33">
        <f>SUM(C18:F18)</f>
        <v>10</v>
      </c>
      <c r="C18" s="34">
        <v>2</v>
      </c>
      <c r="D18" s="34">
        <v>2</v>
      </c>
      <c r="E18" s="34">
        <v>3</v>
      </c>
      <c r="F18" s="34">
        <v>3</v>
      </c>
      <c r="G18" s="48"/>
      <c r="H18" s="48"/>
      <c r="I18" s="48"/>
      <c r="J18" s="48"/>
      <c r="K18" s="48">
        <f>SUM(G18:J18)</f>
        <v>0</v>
      </c>
      <c r="L18" s="48">
        <f>+((C18+D18+E18+F18)-(G18+H18+I18+J18))*-1</f>
        <v>-10</v>
      </c>
      <c r="M18" s="48"/>
    </row>
    <row r="19" spans="1:13">
      <c r="A19" s="114" t="s">
        <v>167</v>
      </c>
      <c r="B19" s="33">
        <f>SUM(C19:F19)</f>
        <v>10</v>
      </c>
      <c r="C19" s="34">
        <v>2</v>
      </c>
      <c r="D19" s="34">
        <v>2</v>
      </c>
      <c r="E19" s="34">
        <v>3</v>
      </c>
      <c r="F19" s="34">
        <v>3</v>
      </c>
      <c r="G19" s="48"/>
      <c r="H19" s="48">
        <v>1</v>
      </c>
      <c r="I19" s="48">
        <v>5.5</v>
      </c>
      <c r="J19" s="48">
        <v>6</v>
      </c>
      <c r="K19" s="48">
        <f>SUM(G19:J19)</f>
        <v>12.5</v>
      </c>
      <c r="L19" s="48">
        <f>+((C19+D19+E19+F19)-(G19+H19+I19+J19))*-1</f>
        <v>2.5</v>
      </c>
      <c r="M19" s="48"/>
    </row>
    <row r="20" spans="1:13">
      <c r="A20" s="114" t="s">
        <v>209</v>
      </c>
      <c r="B20" s="33">
        <f>SUM(C20:F20)</f>
        <v>10</v>
      </c>
      <c r="C20" s="34">
        <v>2</v>
      </c>
      <c r="D20" s="34">
        <v>2</v>
      </c>
      <c r="E20" s="34">
        <v>3</v>
      </c>
      <c r="F20" s="34">
        <v>3</v>
      </c>
      <c r="G20" s="48"/>
      <c r="H20" s="48"/>
      <c r="I20" s="48"/>
      <c r="J20" s="48"/>
      <c r="K20" s="48">
        <f>SUM(G20:J20)</f>
        <v>0</v>
      </c>
      <c r="L20" s="48">
        <f>+((C20+D20+E20+F20)-(G20+H20+I20+J20))*-1</f>
        <v>-10</v>
      </c>
      <c r="M20" s="48"/>
    </row>
    <row r="21" spans="1:13">
      <c r="A21" s="114" t="s">
        <v>267</v>
      </c>
      <c r="B21" s="33">
        <f>SUM(C21:F21)</f>
        <v>10</v>
      </c>
      <c r="C21" s="34">
        <v>2</v>
      </c>
      <c r="D21" s="34">
        <v>3</v>
      </c>
      <c r="E21" s="34">
        <v>3</v>
      </c>
      <c r="F21" s="34">
        <v>2</v>
      </c>
      <c r="G21" s="48"/>
      <c r="H21" s="48"/>
      <c r="I21" s="48">
        <v>0.5</v>
      </c>
      <c r="J21" s="48">
        <v>1</v>
      </c>
      <c r="K21" s="48">
        <f>SUM(G21:J21)</f>
        <v>1.5</v>
      </c>
      <c r="L21" s="48">
        <f>+((C21+D21+E21+F21)-(G21+H21+I21+J21))*-1</f>
        <v>-8.5</v>
      </c>
      <c r="M21" s="48"/>
    </row>
    <row r="22" spans="1:13">
      <c r="A22" s="115" t="s">
        <v>268</v>
      </c>
      <c r="B22" s="33">
        <f>SUM(C22:F22)</f>
        <v>25</v>
      </c>
      <c r="C22" s="34">
        <v>5</v>
      </c>
      <c r="D22" s="34">
        <v>5</v>
      </c>
      <c r="E22" s="34">
        <v>5</v>
      </c>
      <c r="F22" s="34">
        <v>10</v>
      </c>
      <c r="G22" s="34">
        <v>1</v>
      </c>
      <c r="H22" s="35">
        <v>1</v>
      </c>
      <c r="I22" s="35">
        <v>2</v>
      </c>
      <c r="J22" s="35"/>
      <c r="K22" s="48">
        <f>SUM(G22:J22)</f>
        <v>4</v>
      </c>
      <c r="L22" s="48">
        <f>+((C22+D22+E22+F22)-(G22+H22+I22+J22))*-1</f>
        <v>-21</v>
      </c>
      <c r="M22" s="35"/>
    </row>
    <row r="23" spans="1:13">
      <c r="A23" s="116" t="s">
        <v>269</v>
      </c>
      <c r="B23" s="33">
        <f>SUM(C23:F23)</f>
        <v>50</v>
      </c>
      <c r="C23" s="37">
        <v>15</v>
      </c>
      <c r="D23" s="37">
        <v>15</v>
      </c>
      <c r="E23" s="37">
        <v>10</v>
      </c>
      <c r="F23" s="37">
        <v>10</v>
      </c>
      <c r="G23" s="38">
        <v>16</v>
      </c>
      <c r="H23" s="39"/>
      <c r="I23" s="39">
        <v>2</v>
      </c>
      <c r="J23" s="39">
        <v>9</v>
      </c>
      <c r="K23" s="48">
        <f>SUM(G23:J23)</f>
        <v>27</v>
      </c>
      <c r="L23" s="48">
        <f>+((C23+D23+E23+F23)-(G23+H23+I23+J23))*-1</f>
        <v>-23</v>
      </c>
      <c r="M23" s="39"/>
    </row>
    <row r="24" spans="1:13">
      <c r="A24" s="117" t="s">
        <v>161</v>
      </c>
      <c r="B24" s="33">
        <f>SUM(C24:F24)</f>
        <v>275</v>
      </c>
      <c r="C24" s="41">
        <f t="shared" ref="C24:G24" si="3">SUM(C8:C23)</f>
        <v>60</v>
      </c>
      <c r="D24" s="41">
        <f>SUM(D8:D23)</f>
        <v>67</v>
      </c>
      <c r="E24" s="41">
        <f>SUM(E8:E23)</f>
        <v>68</v>
      </c>
      <c r="F24" s="41">
        <f>SUM(F8:F23)</f>
        <v>80</v>
      </c>
      <c r="G24" s="41">
        <f>SUM(G8:G23)</f>
        <v>33</v>
      </c>
      <c r="H24" s="41">
        <f>SUM(H8:H22)</f>
        <v>12</v>
      </c>
      <c r="I24" s="41">
        <f>SUM(I8:I23)</f>
        <v>33.5</v>
      </c>
      <c r="J24" s="41">
        <f>SUM(J8:J23)</f>
        <v>59.5</v>
      </c>
      <c r="K24" s="48">
        <f>SUM(G24:J24)</f>
        <v>138</v>
      </c>
      <c r="L24" s="48">
        <f>+((C24+D24+E24+F24)-(G24+H24+I24+J24))*-1</f>
        <v>-137</v>
      </c>
      <c r="M24" s="41">
        <f>SUM(M8:M22)</f>
        <v>0</v>
      </c>
    </row>
    <row r="25" spans="1:15">
      <c r="A25" s="42" t="s">
        <v>40</v>
      </c>
      <c r="B25" s="43"/>
      <c r="C25" s="44" t="s">
        <v>14</v>
      </c>
      <c r="D25" s="45"/>
      <c r="E25" s="45"/>
      <c r="F25" s="46"/>
      <c r="G25" s="44"/>
      <c r="H25" s="45"/>
      <c r="I25" s="45"/>
      <c r="J25" s="46"/>
      <c r="K25" s="83"/>
      <c r="L25" s="84"/>
      <c r="M25" s="84"/>
      <c r="N25" s="111"/>
      <c r="O25" s="90"/>
    </row>
    <row r="26" ht="25.5" spans="1:15">
      <c r="A26" s="47" t="s">
        <v>16</v>
      </c>
      <c r="B26" s="47" t="s">
        <v>17</v>
      </c>
      <c r="C26" s="47" t="s">
        <v>18</v>
      </c>
      <c r="D26" s="47" t="s">
        <v>122</v>
      </c>
      <c r="E26" s="47" t="s">
        <v>123</v>
      </c>
      <c r="F26" s="47" t="s">
        <v>131</v>
      </c>
      <c r="G26" s="47" t="s">
        <v>18</v>
      </c>
      <c r="H26" s="47" t="s">
        <v>270</v>
      </c>
      <c r="I26" s="47" t="s">
        <v>123</v>
      </c>
      <c r="J26" s="47" t="s">
        <v>131</v>
      </c>
      <c r="K26" s="47" t="s">
        <v>22</v>
      </c>
      <c r="L26" s="47" t="s">
        <v>41</v>
      </c>
      <c r="M26" s="47" t="s">
        <v>42</v>
      </c>
      <c r="N26" s="89"/>
      <c r="O26" s="90"/>
    </row>
    <row r="27" spans="1:15">
      <c r="A27" s="29" t="s">
        <v>265</v>
      </c>
      <c r="B27" s="48">
        <f>SUM(C27:F27)</f>
        <v>15.5</v>
      </c>
      <c r="C27" s="35">
        <v>3.5</v>
      </c>
      <c r="D27" s="34">
        <v>3.5</v>
      </c>
      <c r="E27" s="34">
        <v>4.5</v>
      </c>
      <c r="F27" s="34">
        <v>4</v>
      </c>
      <c r="G27" s="49">
        <f>+(9320+12380+15250+10550+87200+62900)/100000</f>
        <v>1.976</v>
      </c>
      <c r="H27" s="50">
        <f>+(23200+41970+78370+29670+27410+18500+41350+95480+61700)/100000</f>
        <v>4.1765</v>
      </c>
      <c r="I27" s="50">
        <f>+(89206+17000+62000+89100+52350+32000)/100000</f>
        <v>3.41656</v>
      </c>
      <c r="J27" s="76">
        <f>+(36350+95100+22700+50160+27800+35140)/100000</f>
        <v>2.6725</v>
      </c>
      <c r="K27" s="76">
        <f>SUM(G27:J27)</f>
        <v>12.24156</v>
      </c>
      <c r="L27" s="50">
        <f>+((C27+D27+E27+F27)-(G27+H27+I27+J27))*-1</f>
        <v>-3.25844</v>
      </c>
      <c r="M27" s="91">
        <f>+K27/B27</f>
        <v>0.789778064516129</v>
      </c>
      <c r="N27" s="89"/>
      <c r="O27" s="90"/>
    </row>
    <row r="28" spans="1:15">
      <c r="A28" s="29" t="s">
        <v>222</v>
      </c>
      <c r="B28" s="48">
        <f t="shared" ref="B28:B42" si="4">SUM(C28:F28)</f>
        <v>11</v>
      </c>
      <c r="C28" s="35">
        <v>2</v>
      </c>
      <c r="D28" s="34">
        <v>3</v>
      </c>
      <c r="E28" s="34">
        <v>2</v>
      </c>
      <c r="F28" s="34">
        <v>4</v>
      </c>
      <c r="G28" s="49">
        <f>+(1700+11500+27900+26400+28400)/100000</f>
        <v>0.959</v>
      </c>
      <c r="H28" s="50">
        <f>(139100+35600+61500+38480+17600+1200+17500+45100+28900)/100000</f>
        <v>3.8498</v>
      </c>
      <c r="I28" s="50">
        <f>+(7600+22500+1900+73500+25500+24000)/100000</f>
        <v>1.55</v>
      </c>
      <c r="J28" s="50">
        <f>+(28800+42100+46100+16200+20100+25600)/100000</f>
        <v>1.789</v>
      </c>
      <c r="K28" s="76">
        <f t="shared" ref="K28:K42" si="5">SUM(G28:J28)</f>
        <v>8.1478</v>
      </c>
      <c r="L28" s="50">
        <f t="shared" ref="L28:L42" si="6">+((C28+D28+E28+F28)-(G28+H28+I28+J28))*-1</f>
        <v>-2.8522</v>
      </c>
      <c r="M28" s="91">
        <f t="shared" ref="M28:M42" si="7">+K28/B28</f>
        <v>0.740709090909091</v>
      </c>
      <c r="N28" s="89"/>
      <c r="O28" s="90"/>
    </row>
    <row r="29" spans="1:15">
      <c r="A29" s="29" t="s">
        <v>266</v>
      </c>
      <c r="B29" s="48">
        <f>SUM(C29:F29)</f>
        <v>14</v>
      </c>
      <c r="C29" s="35">
        <v>3</v>
      </c>
      <c r="D29" s="34">
        <v>3.5</v>
      </c>
      <c r="E29" s="34">
        <v>3</v>
      </c>
      <c r="F29" s="34">
        <v>4.5</v>
      </c>
      <c r="G29" s="49">
        <f>+(24200+16400+19400+19000+33100+28800)/100000</f>
        <v>1.409</v>
      </c>
      <c r="H29" s="50">
        <f>(26000+28900+171400+43800+31900+48500+31000+25200)/100000</f>
        <v>4.067</v>
      </c>
      <c r="I29" s="50">
        <f>+(43400+41800+19500+30700+36000+45500)/100000</f>
        <v>2.169</v>
      </c>
      <c r="J29" s="50">
        <f>+(21300+64000+20500+12100+27800+34100+225100)/100000</f>
        <v>4.049</v>
      </c>
      <c r="K29" s="76">
        <f>SUM(G29:J29)</f>
        <v>11.694</v>
      </c>
      <c r="L29" s="50">
        <f>+((C29+D29+E29+F29)-(G29+H29+I29+J29))*-1</f>
        <v>-2.306</v>
      </c>
      <c r="M29" s="91">
        <f>+K29/B29</f>
        <v>0.835285714285714</v>
      </c>
      <c r="N29" s="92"/>
      <c r="O29" s="93"/>
    </row>
    <row r="30" spans="1:15">
      <c r="A30" s="29" t="s">
        <v>209</v>
      </c>
      <c r="B30" s="48">
        <f>SUM(C30:F30)</f>
        <v>13</v>
      </c>
      <c r="C30" s="34">
        <v>2.5</v>
      </c>
      <c r="D30" s="34">
        <v>3.5</v>
      </c>
      <c r="E30" s="34">
        <v>3.5</v>
      </c>
      <c r="F30" s="34">
        <v>3.5</v>
      </c>
      <c r="G30" s="49">
        <f>(18900+22050+15300+14000+34300+18400+26400+6300)/100000</f>
        <v>1.5565</v>
      </c>
      <c r="H30" s="50">
        <f>(52200+42100+77000+23800+31500+31700+52500+25000)/100000</f>
        <v>3.358</v>
      </c>
      <c r="I30" s="50">
        <f>(26100+32250+26000+46900+79100+27800+14500)/100000</f>
        <v>2.5265</v>
      </c>
      <c r="J30" s="50">
        <f>(21400+44600+150000+32100+34700+34100+67400)/100000</f>
        <v>3.843</v>
      </c>
      <c r="K30" s="76">
        <f>SUM(G30:J30)</f>
        <v>11.284</v>
      </c>
      <c r="L30" s="50">
        <f>+((C30+D30+E30+F30)-(G30+H30+I30+J30))*-1</f>
        <v>-1.716</v>
      </c>
      <c r="M30" s="91">
        <f>+K30/B30</f>
        <v>0.868</v>
      </c>
      <c r="N30" s="92"/>
      <c r="O30" s="93"/>
    </row>
    <row r="31" spans="1:15">
      <c r="A31" s="29" t="s">
        <v>29</v>
      </c>
      <c r="B31" s="48">
        <f>SUM(C31:F31)</f>
        <v>3</v>
      </c>
      <c r="C31" s="34">
        <v>0.5</v>
      </c>
      <c r="D31" s="34">
        <v>1</v>
      </c>
      <c r="E31" s="34">
        <v>0.5</v>
      </c>
      <c r="F31" s="34">
        <v>1</v>
      </c>
      <c r="G31" s="49">
        <f>+(6000+11000)/100000</f>
        <v>0.17</v>
      </c>
      <c r="H31" s="50">
        <f>+(6000+6000+10000)/100000</f>
        <v>0.22</v>
      </c>
      <c r="I31" s="50">
        <f>(79800+4400)/100000</f>
        <v>0.842</v>
      </c>
      <c r="J31" s="50">
        <f>+(5000+8800+5000+27200)/100000</f>
        <v>0.46</v>
      </c>
      <c r="K31" s="76">
        <f>SUM(G31:J31)</f>
        <v>1.692</v>
      </c>
      <c r="L31" s="50">
        <f>+((C31+D31+E31+F31)-(G31+H31+I31+J31))*-1</f>
        <v>-1.308</v>
      </c>
      <c r="M31" s="91">
        <f>+K31/B31</f>
        <v>0.564</v>
      </c>
      <c r="N31" s="92"/>
      <c r="O31" s="93"/>
    </row>
    <row r="32" spans="1:15">
      <c r="A32" s="51" t="s">
        <v>263</v>
      </c>
      <c r="B32" s="48">
        <f>SUM(C32:F32)</f>
        <v>10.5</v>
      </c>
      <c r="C32" s="35">
        <v>2</v>
      </c>
      <c r="D32" s="52">
        <v>2.5</v>
      </c>
      <c r="E32" s="52">
        <v>2.5</v>
      </c>
      <c r="F32" s="52">
        <v>3.5</v>
      </c>
      <c r="G32" s="49">
        <f>(26500+29300+28600+34400+40100+12150)/100000</f>
        <v>1.7105</v>
      </c>
      <c r="H32" s="50">
        <f>+(18100+66800+65900+47150+40200+38000+54000+41300)/100000</f>
        <v>3.7145</v>
      </c>
      <c r="I32" s="50">
        <f>(29600+34220+37400+35300+41200+45200)/100000</f>
        <v>2.2292</v>
      </c>
      <c r="J32" s="50">
        <f>+(41500+63706+42850+32200+42500+63700)/100000</f>
        <v>2.86456</v>
      </c>
      <c r="K32" s="76">
        <f>SUM(G32:J32)</f>
        <v>10.51876</v>
      </c>
      <c r="L32" s="50">
        <f>+((C32+D32+E32+F32)-(G32+H32+I32+J32))*-1</f>
        <v>0.0187600000000003</v>
      </c>
      <c r="M32" s="91">
        <f>+K32/B32</f>
        <v>1.00178666666667</v>
      </c>
      <c r="N32" s="94"/>
      <c r="O32" s="95"/>
    </row>
    <row r="33" spans="1:15">
      <c r="A33" s="51" t="s">
        <v>271</v>
      </c>
      <c r="B33" s="48">
        <f>SUM(C33:F33)</f>
        <v>6</v>
      </c>
      <c r="C33" s="35">
        <v>1.5</v>
      </c>
      <c r="D33" s="52">
        <v>1.5</v>
      </c>
      <c r="E33" s="52">
        <v>1</v>
      </c>
      <c r="F33" s="52">
        <v>2</v>
      </c>
      <c r="G33" s="49">
        <f>+(7900+8400+11700+10300+14350+25500)/100000</f>
        <v>0.7815</v>
      </c>
      <c r="H33" s="50">
        <f>+(7500+17300+17600+17700+8900+49000+12700+44700)/100000</f>
        <v>1.754</v>
      </c>
      <c r="I33" s="50">
        <f>+(7900+10500+11750+11750+33500+12300+15850)/100000</f>
        <v>1.0355</v>
      </c>
      <c r="J33" s="50">
        <f>+(25200+53300+13800+58200+14500+10100)/100000</f>
        <v>1.751</v>
      </c>
      <c r="K33" s="76">
        <f>SUM(G33:J33)</f>
        <v>5.322</v>
      </c>
      <c r="L33" s="50">
        <f>+((C33+D33+E33+F33)-(G33+H33+I33+J33))*-1</f>
        <v>-0.678000000000001</v>
      </c>
      <c r="M33" s="91">
        <f>+K33/B33</f>
        <v>0.887</v>
      </c>
      <c r="N33" s="92"/>
      <c r="O33" s="93"/>
    </row>
    <row r="34" spans="1:15">
      <c r="A34" s="51" t="s">
        <v>262</v>
      </c>
      <c r="B34" s="48">
        <f>SUM(C34:F34)</f>
        <v>10</v>
      </c>
      <c r="C34" s="35">
        <v>2.5</v>
      </c>
      <c r="D34" s="52">
        <v>2.5</v>
      </c>
      <c r="E34" s="52">
        <v>2</v>
      </c>
      <c r="F34" s="52">
        <v>3</v>
      </c>
      <c r="G34" s="49">
        <f>+(20300+15100+35220+30800+32600+51500)/100000</f>
        <v>1.8552</v>
      </c>
      <c r="H34" s="50">
        <f>+(36300+139300+49350+51400+20520+34700+60500+52000)/100000</f>
        <v>4.4407</v>
      </c>
      <c r="I34" s="50">
        <f>+(21000+40600+40400+67850+48200+43900)/100000</f>
        <v>2.6195</v>
      </c>
      <c r="J34" s="50">
        <f>+(24800+40880+19400+22400+119500)/100000</f>
        <v>2.2698</v>
      </c>
      <c r="K34" s="76">
        <f>SUM(G34:J34)</f>
        <v>11.1852</v>
      </c>
      <c r="L34" s="50">
        <f>+((C34+D34+E34+F34)-(G34+H34+I34+J34))*-1</f>
        <v>1.1852</v>
      </c>
      <c r="M34" s="91">
        <f>+K34/B34</f>
        <v>1.11852</v>
      </c>
      <c r="N34" s="92"/>
      <c r="O34" s="93"/>
    </row>
    <row r="35" spans="1:15">
      <c r="A35" s="51" t="s">
        <v>172</v>
      </c>
      <c r="B35" s="48">
        <f>SUM(C35:F35)</f>
        <v>12.5</v>
      </c>
      <c r="C35" s="35">
        <v>3</v>
      </c>
      <c r="D35" s="52">
        <v>3</v>
      </c>
      <c r="E35" s="52">
        <v>3</v>
      </c>
      <c r="F35" s="52">
        <v>3.5</v>
      </c>
      <c r="G35" s="49">
        <f>+(16200+11900+15400+51200+15400+64500)/100000</f>
        <v>1.746</v>
      </c>
      <c r="H35" s="50">
        <f>+(79900+16000+37500+15700+32100+35400+61000+14500)/100000</f>
        <v>2.921</v>
      </c>
      <c r="I35" s="50">
        <f>(18300+16900+126300+105600+55100+15800)/100000</f>
        <v>3.38</v>
      </c>
      <c r="J35" s="50">
        <f>+(38900+25000+18900+27900+14800+17600)/100000</f>
        <v>1.431</v>
      </c>
      <c r="K35" s="76">
        <f>SUM(G35:J35)</f>
        <v>9.478</v>
      </c>
      <c r="L35" s="50">
        <f>+((C35+D35+E35+F35)-(G35+H35+I35+J35))*-1</f>
        <v>-3.022</v>
      </c>
      <c r="M35" s="91">
        <f>+K35/B35</f>
        <v>0.75824</v>
      </c>
      <c r="N35" s="92"/>
      <c r="O35" s="93"/>
    </row>
    <row r="36" spans="1:15">
      <c r="A36" s="51" t="s">
        <v>141</v>
      </c>
      <c r="B36" s="48">
        <f>SUM(C36:F36)</f>
        <v>5.5</v>
      </c>
      <c r="C36" s="35">
        <v>1</v>
      </c>
      <c r="D36" s="52">
        <v>1.5</v>
      </c>
      <c r="E36" s="52">
        <v>1</v>
      </c>
      <c r="F36" s="52">
        <v>2</v>
      </c>
      <c r="G36" s="49">
        <f>+(12650+30090+10850+39650+11120+18500)/100000</f>
        <v>1.2286</v>
      </c>
      <c r="H36" s="50">
        <f>+(11750+17409+42250+10350+11850+44900+59650+7350)/100000</f>
        <v>2.05509</v>
      </c>
      <c r="I36" s="50">
        <f>+(9100+600+17420+44900+16900+12650)/100000</f>
        <v>1.0157</v>
      </c>
      <c r="J36" s="50">
        <f>+(8900+32250+34000+600+2600+21400)/100000</f>
        <v>0.9975</v>
      </c>
      <c r="K36" s="76">
        <f>SUM(G36:J36)</f>
        <v>5.29689</v>
      </c>
      <c r="L36" s="50">
        <f>+((C36+D36+E36+F36)-(G36+H36+I36+J36))*-1</f>
        <v>-0.203110000000001</v>
      </c>
      <c r="M36" s="91">
        <f>+K36/B36</f>
        <v>0.963070909090909</v>
      </c>
      <c r="N36" s="92"/>
      <c r="O36" s="93"/>
    </row>
    <row r="37" spans="1:15">
      <c r="A37" s="51" t="s">
        <v>167</v>
      </c>
      <c r="B37" s="48">
        <f>SUM(C37:F37)</f>
        <v>5</v>
      </c>
      <c r="C37" s="35">
        <v>1</v>
      </c>
      <c r="D37" s="52">
        <v>1.25</v>
      </c>
      <c r="E37" s="52">
        <v>1.25</v>
      </c>
      <c r="F37" s="52">
        <v>1.5</v>
      </c>
      <c r="G37" s="49">
        <f>+(5750+4400+5600+18300)/100000</f>
        <v>0.3405</v>
      </c>
      <c r="H37" s="50">
        <f>(10500+11900+21000+11500+9800+15000+11400+13850)/100000</f>
        <v>1.0495</v>
      </c>
      <c r="I37" s="50">
        <f>+(10200+10800+17300+26800+18900+12800)/100000</f>
        <v>0.968</v>
      </c>
      <c r="J37" s="50">
        <f>+(8400+3900+3700+10600+24400+20200)/100000</f>
        <v>0.712</v>
      </c>
      <c r="K37" s="76">
        <f>SUM(G37:J37)</f>
        <v>3.07</v>
      </c>
      <c r="L37" s="50">
        <f>+((C37+D37+E37+F37)-(G37+H37+I37+J37))*-1</f>
        <v>-1.93</v>
      </c>
      <c r="M37" s="91">
        <f>+K37/B37</f>
        <v>0.614</v>
      </c>
      <c r="N37" s="92"/>
      <c r="O37" s="93"/>
    </row>
    <row r="38" spans="1:15">
      <c r="A38" s="51" t="s">
        <v>267</v>
      </c>
      <c r="B38" s="48">
        <f>SUM(C38:F38)</f>
        <v>10.5</v>
      </c>
      <c r="C38" s="35">
        <v>2</v>
      </c>
      <c r="D38" s="52">
        <v>3</v>
      </c>
      <c r="E38" s="52">
        <v>2.5</v>
      </c>
      <c r="F38" s="52">
        <v>3</v>
      </c>
      <c r="G38" s="49">
        <f>+(23420+32250+35700+38920+30770)/100000</f>
        <v>1.6106</v>
      </c>
      <c r="H38" s="50">
        <f>(45350+130500+63950+38100+30450+27850+93915+40600)/100000</f>
        <v>4.70715</v>
      </c>
      <c r="I38" s="50">
        <f>+(30800+40200+175550+56550+47500+31700)/100000</f>
        <v>3.823</v>
      </c>
      <c r="J38" s="50">
        <f>+(99100+31500+69500+30200+56800+61200)/100000</f>
        <v>3.483</v>
      </c>
      <c r="K38" s="76">
        <f>SUM(G38:J38)</f>
        <v>13.62375</v>
      </c>
      <c r="L38" s="50">
        <f>+((C38+D38+E38+F38)-(G38+H38+I38+J38))*-1</f>
        <v>3.12375</v>
      </c>
      <c r="M38" s="91">
        <f>+K38/B38</f>
        <v>1.2975</v>
      </c>
      <c r="N38" s="92"/>
      <c r="O38" s="93"/>
    </row>
    <row r="39" spans="1:15">
      <c r="A39" s="51" t="s">
        <v>260</v>
      </c>
      <c r="B39" s="48">
        <f>SUM(C39:F39)</f>
        <v>7</v>
      </c>
      <c r="C39" s="35">
        <v>1.5</v>
      </c>
      <c r="D39" s="52">
        <v>2</v>
      </c>
      <c r="E39" s="52">
        <v>1.5</v>
      </c>
      <c r="F39" s="52">
        <v>2</v>
      </c>
      <c r="G39" s="49">
        <f>+(30645+34700+6100+58440+49600+19100)/100000</f>
        <v>1.98585</v>
      </c>
      <c r="H39" s="50">
        <f>+(14200+8900+45800+16910+22200+9300+19200+16300)/100000</f>
        <v>1.5281</v>
      </c>
      <c r="I39" s="50">
        <f>+(18500+12200+10000+14300+14600+25500)/100000</f>
        <v>0.951</v>
      </c>
      <c r="J39" s="50">
        <f>+(54000+13150+11700+17300+9700+10600)/100000</f>
        <v>1.1645</v>
      </c>
      <c r="K39" s="76">
        <f>SUM(G39:J39)</f>
        <v>5.62945</v>
      </c>
      <c r="L39" s="50">
        <f>+((C39+D39+E39+F39)-(G39+H39+I39+J39))*-1</f>
        <v>-1.37055</v>
      </c>
      <c r="M39" s="91">
        <f>+K39/B39</f>
        <v>0.804207142857143</v>
      </c>
      <c r="N39" s="92"/>
      <c r="O39" s="93"/>
    </row>
    <row r="40" spans="1:15">
      <c r="A40" s="53" t="s">
        <v>35</v>
      </c>
      <c r="B40" s="48">
        <f>SUM(C40:F40)</f>
        <v>3.5</v>
      </c>
      <c r="C40" s="35">
        <v>0.75</v>
      </c>
      <c r="D40" s="52">
        <v>1</v>
      </c>
      <c r="E40" s="52">
        <v>0.75</v>
      </c>
      <c r="F40" s="52">
        <v>1</v>
      </c>
      <c r="G40" s="49"/>
      <c r="H40" s="50">
        <f>+(17600)/100000</f>
        <v>0.176</v>
      </c>
      <c r="I40" s="50"/>
      <c r="J40" s="50">
        <f>+(140000+34940)/100000</f>
        <v>1.7494</v>
      </c>
      <c r="K40" s="76">
        <f>SUM(G40:J40)</f>
        <v>1.9254</v>
      </c>
      <c r="L40" s="50">
        <f>+((C40+D40+E40+F40)-(G40+H40+I40+J40))*-1</f>
        <v>-1.5746</v>
      </c>
      <c r="M40" s="91">
        <f>+K40/B40</f>
        <v>0.550114285714286</v>
      </c>
      <c r="N40" s="92"/>
      <c r="O40" s="93"/>
    </row>
    <row r="41" spans="1:15">
      <c r="A41" s="53" t="s">
        <v>38</v>
      </c>
      <c r="B41" s="48">
        <f>SUM(C41:F41)</f>
        <v>27</v>
      </c>
      <c r="C41" s="35">
        <v>6</v>
      </c>
      <c r="D41" s="52">
        <v>7</v>
      </c>
      <c r="E41" s="52">
        <v>7</v>
      </c>
      <c r="F41" s="52">
        <v>7</v>
      </c>
      <c r="G41" s="49">
        <f>+(47990+600+68400+45600+249000+22000+19200+70650)/100000</f>
        <v>5.2344</v>
      </c>
      <c r="H41" s="50">
        <f>+(38805+12200+33011+4500+1100+28000+23885+1298+1232+138945+30000+17600+90815+21680+53200+5600+8700)/100000</f>
        <v>5.10571</v>
      </c>
      <c r="I41" s="50">
        <f>+(4000+9200+19240+20000+3530+9450+27900+6300+37869+1700+400+63600+600+67700)/100000</f>
        <v>2.71489</v>
      </c>
      <c r="J41" s="50">
        <f>+(17780+16905+1300+700+17145+1300+39600+8900+122790+6700+18000+58550+900+100+19030+22020+21350+292410+68000+2800)/100000</f>
        <v>7.3628</v>
      </c>
      <c r="K41" s="76">
        <f>SUM(G41:J41)</f>
        <v>20.4178</v>
      </c>
      <c r="L41" s="50">
        <f>+((C41+D41+E41+F41)-(G41+H41+I41+J41))*-1</f>
        <v>-6.5822</v>
      </c>
      <c r="M41" s="91">
        <f>+K41/B41</f>
        <v>0.756214814814815</v>
      </c>
      <c r="N41" s="92"/>
      <c r="O41" s="93"/>
    </row>
    <row r="42" spans="1:15">
      <c r="A42" s="54" t="s">
        <v>44</v>
      </c>
      <c r="B42" s="48">
        <f>SUM(C42:F42)</f>
        <v>154</v>
      </c>
      <c r="C42" s="35">
        <f t="shared" ref="C42:J42" si="8">SUM(C27:C41)</f>
        <v>32.75</v>
      </c>
      <c r="D42" s="48">
        <f>SUM(D27:D41)</f>
        <v>39.75</v>
      </c>
      <c r="E42" s="48">
        <f>SUM(E27:E41)</f>
        <v>36</v>
      </c>
      <c r="F42" s="48">
        <f>SUM(F27:F41)</f>
        <v>45.5</v>
      </c>
      <c r="G42" s="49">
        <f>SUM(G27:G41)</f>
        <v>22.56365</v>
      </c>
      <c r="H42" s="50">
        <f>SUM(H27:H41)</f>
        <v>43.12305</v>
      </c>
      <c r="I42" s="50">
        <f>SUM(I27:I41)</f>
        <v>29.24085</v>
      </c>
      <c r="J42" s="50">
        <f>SUM(J27:J41)</f>
        <v>36.59906</v>
      </c>
      <c r="K42" s="76">
        <f>SUM(G42:J42)</f>
        <v>131.52661</v>
      </c>
      <c r="L42" s="50">
        <f>+((C42+D42+E42+F42)-(G42+H42+I42+J42))*-1</f>
        <v>-22.47339</v>
      </c>
      <c r="M42" s="91">
        <f>+K42/B42</f>
        <v>0.854068896103896</v>
      </c>
      <c r="N42" s="92"/>
      <c r="O42" s="93"/>
    </row>
    <row r="43" spans="1:15">
      <c r="A43" s="55"/>
      <c r="B43" s="56"/>
      <c r="C43" s="57"/>
      <c r="N43" s="94"/>
      <c r="O43" s="95"/>
    </row>
    <row r="44" spans="14:15">
      <c r="N44" s="92"/>
      <c r="O44" s="93"/>
    </row>
    <row r="45" spans="14:15">
      <c r="N45" s="92"/>
      <c r="O45" s="93"/>
    </row>
    <row r="46" spans="2:15">
      <c r="B46" s="1"/>
      <c r="N46" s="92"/>
      <c r="O46" s="93"/>
    </row>
    <row r="47" spans="2:15">
      <c r="B47" s="1"/>
      <c r="N47" s="92"/>
      <c r="O47" s="93"/>
    </row>
    <row r="48" spans="2:15">
      <c r="B48" s="1"/>
      <c r="N48" s="92"/>
      <c r="O48" s="93"/>
    </row>
    <row r="49" spans="2:15">
      <c r="B49" s="1"/>
      <c r="N49" s="92"/>
      <c r="O49" s="93"/>
    </row>
    <row r="50" spans="2:15">
      <c r="B50" s="1"/>
      <c r="N50" s="92"/>
      <c r="O50" s="93"/>
    </row>
    <row r="51" spans="2:15">
      <c r="B51" s="1"/>
      <c r="N51" s="92"/>
      <c r="O51" s="93"/>
    </row>
    <row r="52" spans="2:15">
      <c r="B52" s="1"/>
      <c r="N52" s="92"/>
      <c r="O52" s="93"/>
    </row>
    <row r="53" spans="2:15">
      <c r="B53" s="1"/>
      <c r="N53" s="94"/>
      <c r="O53" s="95"/>
    </row>
    <row r="54" spans="2:15">
      <c r="B54" s="1"/>
      <c r="N54" s="92"/>
      <c r="O54" s="93"/>
    </row>
    <row r="55" spans="2:15">
      <c r="B55" s="1"/>
      <c r="N55" s="92"/>
      <c r="O55" s="93"/>
    </row>
    <row r="56" spans="2:15">
      <c r="B56" s="1"/>
      <c r="N56" s="92"/>
      <c r="O56" s="93"/>
    </row>
    <row r="57" spans="2:15">
      <c r="B57" s="1"/>
      <c r="N57" s="92"/>
      <c r="O57" s="93"/>
    </row>
    <row r="58" spans="2:15">
      <c r="B58" s="1"/>
      <c r="N58" s="92"/>
      <c r="O58" s="93"/>
    </row>
    <row r="59" spans="2:15">
      <c r="B59" s="1"/>
      <c r="N59" s="92"/>
      <c r="O59" s="93"/>
    </row>
    <row r="60" spans="2:15">
      <c r="B60" s="1"/>
      <c r="N60" s="92"/>
      <c r="O60" s="93"/>
    </row>
    <row r="61" spans="2:15">
      <c r="B61" s="1"/>
      <c r="N61" s="94"/>
      <c r="O61" s="95"/>
    </row>
    <row r="62" spans="2:15">
      <c r="B62" s="1"/>
      <c r="N62" s="92"/>
      <c r="O62" s="93"/>
    </row>
    <row r="63" spans="2:15">
      <c r="B63" s="1"/>
      <c r="N63" s="92"/>
      <c r="O63" s="93"/>
    </row>
    <row r="64" spans="2:15">
      <c r="B64" s="1"/>
      <c r="N64" s="92"/>
      <c r="O64" s="93"/>
    </row>
    <row r="65" spans="2:15">
      <c r="B65" s="1"/>
      <c r="N65" s="92"/>
      <c r="O65" s="93"/>
    </row>
    <row r="66" spans="2:15">
      <c r="B66" s="1"/>
      <c r="N66" s="92"/>
      <c r="O66" s="93"/>
    </row>
    <row r="67" spans="2:15">
      <c r="B67" s="1"/>
      <c r="N67" s="92"/>
      <c r="O67" s="93"/>
    </row>
    <row r="68" spans="2:15">
      <c r="B68" s="1"/>
      <c r="N68" s="92"/>
      <c r="O68" s="93"/>
    </row>
    <row r="69" spans="2:15">
      <c r="B69" s="1"/>
      <c r="N69" s="92"/>
      <c r="O69" s="96"/>
    </row>
  </sheetData>
  <mergeCells count="5">
    <mergeCell ref="D5:F5"/>
    <mergeCell ref="C6:F6"/>
    <mergeCell ref="G6:J6"/>
    <mergeCell ref="C25:F25"/>
    <mergeCell ref="G25:J25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70"/>
  <sheetViews>
    <sheetView topLeftCell="A3" workbookViewId="0">
      <selection activeCell="J34" sqref="J34"/>
    </sheetView>
  </sheetViews>
  <sheetFormatPr defaultColWidth="9" defaultRowHeight="15"/>
  <cols>
    <col min="1" max="1" width="17.4285714285714" style="1" customWidth="1"/>
    <col min="2" max="2" width="9" style="2" customWidth="1"/>
    <col min="3" max="3" width="8.42857142857143" style="1" customWidth="1"/>
    <col min="4" max="4" width="8.57142857142857" style="1" customWidth="1"/>
    <col min="5" max="5" width="8.28571428571429" style="1" customWidth="1"/>
    <col min="6" max="6" width="8.71428571428571" style="1" customWidth="1"/>
    <col min="7" max="7" width="8.28571428571429" style="1" customWidth="1"/>
    <col min="8" max="8" width="8.85714285714286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ht="13.5" customHeight="1" spans="1:13">
      <c r="A1" s="3" t="s">
        <v>272</v>
      </c>
      <c r="B1" s="4" t="s">
        <v>273</v>
      </c>
      <c r="C1" s="5"/>
      <c r="D1" s="5"/>
      <c r="E1" s="5"/>
      <c r="F1" s="5"/>
      <c r="G1" s="5"/>
      <c r="H1" s="5"/>
      <c r="I1" s="5"/>
      <c r="J1" s="5"/>
      <c r="K1" s="5"/>
      <c r="L1" s="5"/>
      <c r="M1" s="58"/>
    </row>
    <row r="2" spans="1:13">
      <c r="A2" s="6" t="s">
        <v>2</v>
      </c>
      <c r="B2" s="7">
        <f>+K24</f>
        <v>70.5</v>
      </c>
      <c r="C2" s="8"/>
      <c r="D2" s="8"/>
      <c r="E2" s="8"/>
      <c r="F2" s="8"/>
      <c r="G2" s="9"/>
      <c r="H2" s="10"/>
      <c r="I2" s="59"/>
      <c r="J2" s="10"/>
      <c r="K2" s="10"/>
      <c r="L2" s="10"/>
      <c r="M2" s="104"/>
    </row>
    <row r="3" ht="12" customHeight="1" spans="1:13">
      <c r="A3" s="6" t="s">
        <v>3</v>
      </c>
      <c r="B3" s="7">
        <f>+M24</f>
        <v>0</v>
      </c>
      <c r="C3" s="8"/>
      <c r="D3" s="8"/>
      <c r="E3" s="8"/>
      <c r="F3" s="8"/>
      <c r="G3" s="9"/>
      <c r="H3" s="10"/>
      <c r="I3" s="10"/>
      <c r="J3" s="10"/>
      <c r="K3" s="10"/>
      <c r="L3" s="61"/>
      <c r="M3" s="105"/>
    </row>
    <row r="4" spans="1:13">
      <c r="A4" s="6" t="s">
        <v>274</v>
      </c>
      <c r="B4" s="11"/>
      <c r="C4" s="12"/>
      <c r="D4" s="13" t="s">
        <v>5</v>
      </c>
      <c r="E4" s="12">
        <v>3</v>
      </c>
      <c r="F4" s="12"/>
      <c r="G4" s="14" t="s">
        <v>78</v>
      </c>
      <c r="H4" s="15"/>
      <c r="I4" s="62" t="s">
        <v>7</v>
      </c>
      <c r="J4" s="13">
        <f>+K43</f>
        <v>142.20676</v>
      </c>
      <c r="K4" s="12" t="s">
        <v>8</v>
      </c>
      <c r="L4" s="12" t="s">
        <v>275</v>
      </c>
      <c r="M4" s="106"/>
    </row>
    <row r="5" spans="1:13">
      <c r="A5" s="16" t="s">
        <v>10</v>
      </c>
      <c r="B5" s="17" t="s">
        <v>276</v>
      </c>
      <c r="C5" s="18" t="s">
        <v>277</v>
      </c>
      <c r="D5" s="19">
        <v>13904000</v>
      </c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2.5" customHeight="1" spans="1:13">
      <c r="A7" s="25" t="s">
        <v>16</v>
      </c>
      <c r="B7" s="25" t="s">
        <v>17</v>
      </c>
      <c r="C7" s="25" t="s">
        <v>152</v>
      </c>
      <c r="D7" s="25" t="s">
        <v>153</v>
      </c>
      <c r="E7" s="25" t="s">
        <v>123</v>
      </c>
      <c r="F7" s="25" t="s">
        <v>106</v>
      </c>
      <c r="G7" s="25" t="s">
        <v>152</v>
      </c>
      <c r="H7" s="25" t="s">
        <v>154</v>
      </c>
      <c r="I7" s="25" t="s">
        <v>155</v>
      </c>
      <c r="J7" s="25" t="s">
        <v>107</v>
      </c>
      <c r="K7" s="25" t="s">
        <v>22</v>
      </c>
      <c r="L7" s="25" t="s">
        <v>23</v>
      </c>
      <c r="M7" s="25" t="s">
        <v>24</v>
      </c>
    </row>
    <row r="8" spans="1:13">
      <c r="A8" s="29" t="s">
        <v>26</v>
      </c>
      <c r="B8" s="33">
        <f t="shared" ref="B8:B24" si="0">SUM(C8:F8)</f>
        <v>25</v>
      </c>
      <c r="C8" s="34">
        <v>5</v>
      </c>
      <c r="D8" s="34">
        <v>7</v>
      </c>
      <c r="E8" s="34">
        <v>7</v>
      </c>
      <c r="F8" s="34">
        <v>6</v>
      </c>
      <c r="G8" s="48"/>
      <c r="H8" s="48">
        <v>4</v>
      </c>
      <c r="I8" s="48">
        <v>4</v>
      </c>
      <c r="J8" s="48">
        <v>12</v>
      </c>
      <c r="K8" s="48">
        <f>SUM(G8:J8)</f>
        <v>20</v>
      </c>
      <c r="L8" s="48">
        <f>+((C8+D8+E8+F8)-(G8+H8+I8+J8))*-1</f>
        <v>-5</v>
      </c>
      <c r="M8" s="48"/>
    </row>
    <row r="9" spans="1:13">
      <c r="A9" s="29" t="s">
        <v>259</v>
      </c>
      <c r="B9" s="33">
        <f>SUM(C9:F9)</f>
        <v>20</v>
      </c>
      <c r="C9" s="34">
        <v>4</v>
      </c>
      <c r="D9" s="34">
        <v>6</v>
      </c>
      <c r="E9" s="34">
        <v>5</v>
      </c>
      <c r="F9" s="34">
        <v>5</v>
      </c>
      <c r="G9" s="48"/>
      <c r="H9" s="48">
        <v>1</v>
      </c>
      <c r="I9" s="48">
        <v>1</v>
      </c>
      <c r="J9" s="48"/>
      <c r="K9" s="48">
        <f t="shared" ref="K9:K23" si="1">SUM(G9:J9)</f>
        <v>2</v>
      </c>
      <c r="L9" s="48">
        <f t="shared" ref="L9:L24" si="2">+((C9+D9+E9+F9)-(G9+H9+I9+J9))*-1</f>
        <v>-18</v>
      </c>
      <c r="M9" s="48"/>
    </row>
    <row r="10" spans="1:17">
      <c r="A10" s="29" t="s">
        <v>260</v>
      </c>
      <c r="B10" s="33">
        <f>SUM(C10:F10)</f>
        <v>25</v>
      </c>
      <c r="C10" s="34">
        <v>5</v>
      </c>
      <c r="D10" s="34">
        <v>7</v>
      </c>
      <c r="E10" s="34">
        <v>5</v>
      </c>
      <c r="F10" s="34">
        <v>8</v>
      </c>
      <c r="G10" s="48"/>
      <c r="H10" s="48">
        <v>5</v>
      </c>
      <c r="I10" s="48">
        <v>1</v>
      </c>
      <c r="J10" s="48">
        <v>1</v>
      </c>
      <c r="K10" s="48">
        <f>SUM(G10:J10)</f>
        <v>7</v>
      </c>
      <c r="L10" s="48">
        <f>+((C10+D10+E10+F10)-(G10+H10+I10+J10))*-1</f>
        <v>-18</v>
      </c>
      <c r="M10" s="48"/>
      <c r="Q10"/>
    </row>
    <row r="11" spans="1:13">
      <c r="A11" s="29" t="s">
        <v>141</v>
      </c>
      <c r="B11" s="33">
        <f>SUM(C11:F11)</f>
        <v>20</v>
      </c>
      <c r="C11" s="34">
        <v>4</v>
      </c>
      <c r="D11" s="34">
        <v>5</v>
      </c>
      <c r="E11" s="34">
        <v>7</v>
      </c>
      <c r="F11" s="34">
        <v>4</v>
      </c>
      <c r="G11" s="48">
        <v>2</v>
      </c>
      <c r="H11" s="48"/>
      <c r="I11" s="48"/>
      <c r="J11" s="48">
        <v>2.5</v>
      </c>
      <c r="K11" s="48">
        <f>SUM(G11:J11)</f>
        <v>4.5</v>
      </c>
      <c r="L11" s="48">
        <f>+((C11+D11+E11+F11)-(G11+H11+I11+J11))*-1</f>
        <v>-15.5</v>
      </c>
      <c r="M11" s="48"/>
    </row>
    <row r="12" ht="15.75" customHeight="1" spans="1:13">
      <c r="A12" s="29" t="s">
        <v>261</v>
      </c>
      <c r="B12" s="33">
        <f>SUM(C12:F12)</f>
        <v>10</v>
      </c>
      <c r="C12" s="34">
        <v>2</v>
      </c>
      <c r="D12" s="34">
        <v>3</v>
      </c>
      <c r="E12" s="34">
        <v>3</v>
      </c>
      <c r="F12" s="34">
        <v>2</v>
      </c>
      <c r="G12" s="48">
        <v>1</v>
      </c>
      <c r="H12" s="48">
        <v>0.5</v>
      </c>
      <c r="I12" s="48">
        <v>1</v>
      </c>
      <c r="J12" s="48">
        <v>2</v>
      </c>
      <c r="K12" s="48">
        <f>SUM(G12:J12)</f>
        <v>4.5</v>
      </c>
      <c r="L12" s="48">
        <f>+((C12+D12+E12+F12)-(G12+H12+I12+J12))*-1</f>
        <v>-5.5</v>
      </c>
      <c r="M12" s="48"/>
    </row>
    <row r="13" spans="1:13">
      <c r="A13" s="114" t="s">
        <v>262</v>
      </c>
      <c r="B13" s="33">
        <f>SUM(C13:F13)</f>
        <v>5</v>
      </c>
      <c r="C13" s="34">
        <v>1</v>
      </c>
      <c r="D13" s="34">
        <v>1</v>
      </c>
      <c r="E13" s="34">
        <v>1</v>
      </c>
      <c r="F13" s="34">
        <v>2</v>
      </c>
      <c r="G13" s="48"/>
      <c r="H13" s="48">
        <v>2</v>
      </c>
      <c r="I13" s="48"/>
      <c r="J13" s="48"/>
      <c r="K13" s="48">
        <f>SUM(G13:J13)</f>
        <v>2</v>
      </c>
      <c r="L13" s="48">
        <f>+((C13+D13+E13+F13)-(G13+H13+I13+J13))*-1</f>
        <v>-3</v>
      </c>
      <c r="M13" s="48"/>
    </row>
    <row r="14" spans="1:13">
      <c r="A14" s="114" t="s">
        <v>263</v>
      </c>
      <c r="B14" s="33">
        <f>SUM(C14:F14)</f>
        <v>5</v>
      </c>
      <c r="C14" s="34">
        <v>1</v>
      </c>
      <c r="D14" s="34">
        <v>1</v>
      </c>
      <c r="E14" s="34">
        <v>2</v>
      </c>
      <c r="F14" s="34">
        <v>1</v>
      </c>
      <c r="G14" s="48">
        <v>1</v>
      </c>
      <c r="H14" s="48">
        <v>0.5</v>
      </c>
      <c r="I14" s="48">
        <v>1</v>
      </c>
      <c r="J14" s="48"/>
      <c r="K14" s="48">
        <f>SUM(G14:J14)</f>
        <v>2.5</v>
      </c>
      <c r="L14" s="48">
        <f>+((C14+D14+E14+F14)-(G14+H14+I14+J14))*-1</f>
        <v>-2.5</v>
      </c>
      <c r="M14" s="48"/>
    </row>
    <row r="15" spans="1:13">
      <c r="A15" s="114" t="s">
        <v>172</v>
      </c>
      <c r="B15" s="33">
        <f>SUM(C15:F15)</f>
        <v>5</v>
      </c>
      <c r="C15" s="34">
        <v>1</v>
      </c>
      <c r="D15" s="34">
        <v>1</v>
      </c>
      <c r="E15" s="34">
        <v>1</v>
      </c>
      <c r="F15" s="34">
        <v>2</v>
      </c>
      <c r="G15" s="48"/>
      <c r="H15" s="48"/>
      <c r="I15" s="48">
        <v>0</v>
      </c>
      <c r="J15" s="48"/>
      <c r="K15" s="48">
        <f>SUM(G15:J15)</f>
        <v>0</v>
      </c>
      <c r="L15" s="48">
        <f>+((C15+D15+E15+F15)-(G15+H15+I15+J15))*-1</f>
        <v>-5</v>
      </c>
      <c r="M15" s="48"/>
    </row>
    <row r="16" spans="1:13">
      <c r="A16" s="114" t="s">
        <v>264</v>
      </c>
      <c r="B16" s="33">
        <f>SUM(C16:F16)</f>
        <v>5</v>
      </c>
      <c r="C16" s="34">
        <v>1</v>
      </c>
      <c r="D16" s="34">
        <v>1</v>
      </c>
      <c r="E16" s="34">
        <v>1</v>
      </c>
      <c r="F16" s="34">
        <v>2</v>
      </c>
      <c r="G16" s="48"/>
      <c r="H16" s="48"/>
      <c r="I16" s="48"/>
      <c r="J16" s="48"/>
      <c r="K16" s="48">
        <f>SUM(G16:J16)</f>
        <v>0</v>
      </c>
      <c r="L16" s="48">
        <f>+((C16+D16+E16+F16)-(G16+H16+I16+J16))*-1</f>
        <v>-5</v>
      </c>
      <c r="M16" s="48"/>
    </row>
    <row r="17" spans="1:13">
      <c r="A17" s="114" t="s">
        <v>265</v>
      </c>
      <c r="B17" s="33">
        <f>SUM(C17:F17)</f>
        <v>5</v>
      </c>
      <c r="C17" s="34">
        <v>1</v>
      </c>
      <c r="D17" s="34">
        <v>1</v>
      </c>
      <c r="E17" s="34">
        <v>1</v>
      </c>
      <c r="F17" s="34">
        <v>2</v>
      </c>
      <c r="G17" s="48"/>
      <c r="H17" s="48"/>
      <c r="I17" s="48"/>
      <c r="J17" s="48"/>
      <c r="K17" s="48">
        <f>SUM(G17:J17)</f>
        <v>0</v>
      </c>
      <c r="L17" s="48">
        <f>+((C17+D17+E17+F17)-(G17+H17+I17+J17))*-1</f>
        <v>-5</v>
      </c>
      <c r="M17" s="48"/>
    </row>
    <row r="18" spans="1:13">
      <c r="A18" s="114" t="s">
        <v>266</v>
      </c>
      <c r="B18" s="33">
        <f>SUM(C18:F18)</f>
        <v>5</v>
      </c>
      <c r="C18" s="34">
        <v>1</v>
      </c>
      <c r="D18" s="34">
        <v>1</v>
      </c>
      <c r="E18" s="34">
        <v>1</v>
      </c>
      <c r="F18" s="34">
        <v>2</v>
      </c>
      <c r="G18" s="48"/>
      <c r="H18" s="48"/>
      <c r="I18" s="48"/>
      <c r="J18" s="48"/>
      <c r="K18" s="48">
        <f>SUM(G18:J18)</f>
        <v>0</v>
      </c>
      <c r="L18" s="48">
        <f>+((C18+D18+E18+F18)-(G18+H18+I18+J18))*-1</f>
        <v>-5</v>
      </c>
      <c r="M18" s="48"/>
    </row>
    <row r="19" spans="1:13">
      <c r="A19" s="114" t="s">
        <v>167</v>
      </c>
      <c r="B19" s="33">
        <f>SUM(C19:F19)</f>
        <v>10</v>
      </c>
      <c r="C19" s="34">
        <v>2</v>
      </c>
      <c r="D19" s="34">
        <v>2</v>
      </c>
      <c r="E19" s="34">
        <v>3</v>
      </c>
      <c r="F19" s="34">
        <v>3</v>
      </c>
      <c r="G19" s="48">
        <v>1</v>
      </c>
      <c r="H19" s="48"/>
      <c r="I19" s="48">
        <v>0</v>
      </c>
      <c r="J19" s="48">
        <v>4</v>
      </c>
      <c r="K19" s="48">
        <f>SUM(G19:J19)</f>
        <v>5</v>
      </c>
      <c r="L19" s="48">
        <f>+((C19+D19+E19+F19)-(G19+H19+I19+J19))*-1</f>
        <v>-5</v>
      </c>
      <c r="M19" s="48"/>
    </row>
    <row r="20" spans="1:13">
      <c r="A20" s="114" t="s">
        <v>209</v>
      </c>
      <c r="B20" s="33">
        <f>SUM(C20:F20)</f>
        <v>5</v>
      </c>
      <c r="C20" s="34">
        <v>1</v>
      </c>
      <c r="D20" s="34">
        <v>1</v>
      </c>
      <c r="E20" s="34">
        <v>2</v>
      </c>
      <c r="F20" s="34">
        <v>1</v>
      </c>
      <c r="G20" s="48"/>
      <c r="H20" s="48"/>
      <c r="I20" s="48"/>
      <c r="J20" s="48"/>
      <c r="K20" s="48">
        <f>SUM(G20:J20)</f>
        <v>0</v>
      </c>
      <c r="L20" s="48">
        <f>+((C20+D20+E20+F20)-(G20+H20+I20+J20))*-1</f>
        <v>-5</v>
      </c>
      <c r="M20" s="48"/>
    </row>
    <row r="21" spans="1:13">
      <c r="A21" s="114" t="s">
        <v>267</v>
      </c>
      <c r="B21" s="33">
        <f>SUM(C21:F21)</f>
        <v>5</v>
      </c>
      <c r="C21" s="34">
        <v>1</v>
      </c>
      <c r="D21" s="34">
        <v>2</v>
      </c>
      <c r="E21" s="34">
        <v>1</v>
      </c>
      <c r="F21" s="34">
        <v>1</v>
      </c>
      <c r="G21" s="48"/>
      <c r="H21" s="48"/>
      <c r="I21" s="48"/>
      <c r="J21" s="48"/>
      <c r="K21" s="48">
        <f>SUM(G21:J21)</f>
        <v>0</v>
      </c>
      <c r="L21" s="48">
        <f>+((C21+D21+E21+F21)-(G21+H21+I21+J21))*-1</f>
        <v>-5</v>
      </c>
      <c r="M21" s="48"/>
    </row>
    <row r="22" spans="1:13">
      <c r="A22" s="115" t="s">
        <v>268</v>
      </c>
      <c r="B22" s="33">
        <f>SUM(C22:F22)</f>
        <v>35</v>
      </c>
      <c r="C22" s="34">
        <v>5</v>
      </c>
      <c r="D22" s="34">
        <v>10</v>
      </c>
      <c r="E22" s="34">
        <v>10</v>
      </c>
      <c r="F22" s="34">
        <v>10</v>
      </c>
      <c r="G22" s="34">
        <v>5</v>
      </c>
      <c r="H22" s="35">
        <v>1</v>
      </c>
      <c r="I22" s="35">
        <v>5</v>
      </c>
      <c r="J22" s="35">
        <v>3</v>
      </c>
      <c r="K22" s="48">
        <f>SUM(G22:J22)</f>
        <v>14</v>
      </c>
      <c r="L22" s="48">
        <f>+((C22+D22+E22+F22)-(G22+H22+I22+J22))*-1</f>
        <v>-21</v>
      </c>
      <c r="M22" s="35"/>
    </row>
    <row r="23" spans="1:13">
      <c r="A23" s="116" t="s">
        <v>269</v>
      </c>
      <c r="B23" s="33">
        <f>SUM(C23:F23)</f>
        <v>50</v>
      </c>
      <c r="C23" s="37">
        <v>10</v>
      </c>
      <c r="D23" s="37">
        <v>10</v>
      </c>
      <c r="E23" s="37">
        <v>15</v>
      </c>
      <c r="F23" s="37">
        <v>15</v>
      </c>
      <c r="G23" s="38">
        <v>6</v>
      </c>
      <c r="H23" s="39">
        <v>1</v>
      </c>
      <c r="I23" s="39">
        <v>1</v>
      </c>
      <c r="J23" s="39">
        <v>1</v>
      </c>
      <c r="K23" s="48">
        <f>SUM(G23:J23)</f>
        <v>9</v>
      </c>
      <c r="L23" s="48">
        <f>+((C23+D23+E23+F23)-(G23+H23+I23+J23))*-1</f>
        <v>-41</v>
      </c>
      <c r="M23" s="39"/>
    </row>
    <row r="24" spans="1:13">
      <c r="A24" s="117" t="s">
        <v>161</v>
      </c>
      <c r="B24" s="33">
        <f>SUM(C24:F24)</f>
        <v>235</v>
      </c>
      <c r="C24" s="41">
        <f t="shared" ref="C24:J24" si="3">SUM(C8:C23)</f>
        <v>45</v>
      </c>
      <c r="D24" s="41">
        <f>SUM(D8:D23)</f>
        <v>59</v>
      </c>
      <c r="E24" s="41">
        <f>SUM(E8:E23)</f>
        <v>65</v>
      </c>
      <c r="F24" s="41">
        <f>SUM(F8:F23)</f>
        <v>66</v>
      </c>
      <c r="G24" s="41">
        <f>SUM(G8:G23)</f>
        <v>16</v>
      </c>
      <c r="H24" s="41">
        <f>SUM(H8:H23)</f>
        <v>15</v>
      </c>
      <c r="I24" s="41">
        <f>SUM(I8:I23)</f>
        <v>14</v>
      </c>
      <c r="J24" s="41">
        <f>SUM(J8:J23)</f>
        <v>25.5</v>
      </c>
      <c r="K24" s="48">
        <f t="shared" ref="K24" si="4">SUM(G24:J24)</f>
        <v>70.5</v>
      </c>
      <c r="L24" s="48">
        <f>+((C24+D24+E24+F24)-(G24+H24+I24+J24))*-1</f>
        <v>-164.5</v>
      </c>
      <c r="M24" s="41">
        <f>SUM(M8:M22)</f>
        <v>0</v>
      </c>
    </row>
    <row r="25" spans="1:15">
      <c r="A25" s="42" t="s">
        <v>40</v>
      </c>
      <c r="B25" s="43"/>
      <c r="C25" s="44" t="s">
        <v>14</v>
      </c>
      <c r="D25" s="45"/>
      <c r="E25" s="45"/>
      <c r="F25" s="46"/>
      <c r="G25" s="44"/>
      <c r="H25" s="45"/>
      <c r="I25" s="45"/>
      <c r="J25" s="46"/>
      <c r="K25" s="83"/>
      <c r="L25" s="84"/>
      <c r="M25" s="84"/>
      <c r="N25" s="111"/>
      <c r="O25" s="90"/>
    </row>
    <row r="26" ht="25.5" spans="1:15">
      <c r="A26" s="47" t="s">
        <v>16</v>
      </c>
      <c r="B26" s="47" t="s">
        <v>17</v>
      </c>
      <c r="C26" s="47" t="s">
        <v>152</v>
      </c>
      <c r="D26" s="47" t="s">
        <v>154</v>
      </c>
      <c r="E26" s="47" t="s">
        <v>123</v>
      </c>
      <c r="F26" s="47" t="s">
        <v>107</v>
      </c>
      <c r="G26" s="47" t="s">
        <v>152</v>
      </c>
      <c r="H26" s="47" t="s">
        <v>278</v>
      </c>
      <c r="I26" s="47" t="s">
        <v>123</v>
      </c>
      <c r="J26" s="47" t="s">
        <v>107</v>
      </c>
      <c r="K26" s="47" t="s">
        <v>22</v>
      </c>
      <c r="L26" s="47" t="s">
        <v>41</v>
      </c>
      <c r="M26" s="47" t="s">
        <v>42</v>
      </c>
      <c r="N26" s="89"/>
      <c r="O26" s="90"/>
    </row>
    <row r="27" spans="1:15">
      <c r="A27" s="29" t="s">
        <v>265</v>
      </c>
      <c r="B27" s="48">
        <f>SUM(C27:F27)</f>
        <v>15</v>
      </c>
      <c r="C27" s="35">
        <v>3.5</v>
      </c>
      <c r="D27" s="34">
        <v>3.5</v>
      </c>
      <c r="E27" s="34">
        <v>4</v>
      </c>
      <c r="F27" s="34">
        <v>4</v>
      </c>
      <c r="G27" s="49">
        <f>+(8800+20000+37900+119845+27000+43700)/100000</f>
        <v>2.57245</v>
      </c>
      <c r="H27" s="50">
        <f>+(45080+87175+16300+57880+37400+78300+37600)/100000</f>
        <v>3.59735</v>
      </c>
      <c r="I27" s="50">
        <f>+(57080+54200+98920+47370+30050+21590)/100000</f>
        <v>3.0921</v>
      </c>
      <c r="J27" s="76">
        <f>+(64370+51300+48930+23610+64850+28390+6492)/100000</f>
        <v>2.87942</v>
      </c>
      <c r="K27" s="76">
        <f>SUM(G27:J27)</f>
        <v>12.14132</v>
      </c>
      <c r="L27" s="50">
        <f>+((C27+D27+E27+F27)-(G27+H27+I27+J27))*-1</f>
        <v>-2.85868</v>
      </c>
      <c r="M27" s="91">
        <f>+K27/B27</f>
        <v>0.809421333333333</v>
      </c>
      <c r="N27" s="89"/>
      <c r="O27" s="90"/>
    </row>
    <row r="28" spans="1:15">
      <c r="A28" s="29" t="s">
        <v>222</v>
      </c>
      <c r="B28" s="48">
        <f t="shared" ref="B28:B43" si="5">SUM(C28:F28)</f>
        <v>10.5</v>
      </c>
      <c r="C28" s="35">
        <v>2</v>
      </c>
      <c r="D28" s="34">
        <v>3</v>
      </c>
      <c r="E28" s="34">
        <v>2</v>
      </c>
      <c r="F28" s="34">
        <v>3.5</v>
      </c>
      <c r="G28" s="49">
        <f>+(31250+7100+59400+42950+26300+13100)/100000</f>
        <v>1.801</v>
      </c>
      <c r="H28" s="50">
        <f>+(14600+26300+55300+126800+8800+43500+16300)/100000</f>
        <v>2.916</v>
      </c>
      <c r="I28" s="50">
        <f>+(12300+16200+79820+36550+42950+38400+90000)/100000</f>
        <v>3.1622</v>
      </c>
      <c r="J28" s="50">
        <f>+(2400+13600+4500+13300+39990+3400+49000)/100000</f>
        <v>1.2619</v>
      </c>
      <c r="K28" s="76">
        <f t="shared" ref="K28:K43" si="6">SUM(G28:J28)</f>
        <v>9.1411</v>
      </c>
      <c r="L28" s="50">
        <f t="shared" ref="L28:L43" si="7">+((C28+D28+E28+F28)-(G28+H28+I28+J28))*-1</f>
        <v>-1.3589</v>
      </c>
      <c r="M28" s="91">
        <f t="shared" ref="M28:M43" si="8">+K28/B28</f>
        <v>0.870580952380952</v>
      </c>
      <c r="N28" s="89"/>
      <c r="O28" s="90"/>
    </row>
    <row r="29" spans="1:15">
      <c r="A29" s="29" t="s">
        <v>266</v>
      </c>
      <c r="B29" s="48">
        <f>SUM(C29:F29)</f>
        <v>13.5</v>
      </c>
      <c r="C29" s="35">
        <v>2.5</v>
      </c>
      <c r="D29" s="34">
        <v>3.5</v>
      </c>
      <c r="E29" s="34">
        <v>3</v>
      </c>
      <c r="F29" s="34">
        <v>4.5</v>
      </c>
      <c r="G29" s="49">
        <f>+(61100+23800+17700+24300+23100+48200)/100000</f>
        <v>1.982</v>
      </c>
      <c r="H29" s="50">
        <f>+(47000+6300+159200+33600+18000+36600+31450)/100000</f>
        <v>3.3215</v>
      </c>
      <c r="I29" s="50">
        <f>+(16400+46200+28600+38200+45450+5000+18300)/100000</f>
        <v>1.9815</v>
      </c>
      <c r="J29" s="50">
        <f>+(32600+17600+18100+33700+20700+53000+77700+80000+17400)/100000</f>
        <v>3.508</v>
      </c>
      <c r="K29" s="76">
        <f>SUM(G29:J29)</f>
        <v>10.793</v>
      </c>
      <c r="L29" s="50">
        <f>+((C29+D29+E29+F29)-(G29+H29+I29+J29))*-1</f>
        <v>-2.707</v>
      </c>
      <c r="M29" s="91">
        <f>+K29/B29</f>
        <v>0.799481481481481</v>
      </c>
      <c r="N29" s="92"/>
      <c r="O29" s="93"/>
    </row>
    <row r="30" spans="1:15">
      <c r="A30" s="29" t="s">
        <v>209</v>
      </c>
      <c r="B30" s="48">
        <f>SUM(C30:F30)</f>
        <v>12</v>
      </c>
      <c r="C30" s="34">
        <v>2.5</v>
      </c>
      <c r="D30" s="34">
        <v>3.5</v>
      </c>
      <c r="E30" s="34">
        <v>3</v>
      </c>
      <c r="F30" s="34">
        <v>3</v>
      </c>
      <c r="G30" s="49">
        <f>+(24900+26100+28900+36500+29600+78900)/100000</f>
        <v>2.249</v>
      </c>
      <c r="H30" s="50">
        <f>+(22500+30200+29200+55500+20000+28000+60575+15000+23900)/100000</f>
        <v>2.84875</v>
      </c>
      <c r="I30" s="50">
        <f>+(26800+40100+48800+27800+30000+30200+8800+66000)/100000</f>
        <v>2.785</v>
      </c>
      <c r="J30" s="50">
        <f>+(28500+14500+13200+100700+78000+45750+25450+27200+20300+25800+27800)/100000</f>
        <v>4.072</v>
      </c>
      <c r="K30" s="76">
        <f>SUM(G30:J30)</f>
        <v>11.95475</v>
      </c>
      <c r="L30" s="50">
        <f>+((C30+D30+E30+F30)-(G30+H30+I30+J30))*-1</f>
        <v>-0.0452499999999993</v>
      </c>
      <c r="M30" s="91">
        <f>+K30/B30</f>
        <v>0.996229166666667</v>
      </c>
      <c r="N30" s="92"/>
      <c r="O30" s="93"/>
    </row>
    <row r="31" spans="1:15">
      <c r="A31" s="51" t="s">
        <v>263</v>
      </c>
      <c r="B31" s="48">
        <f>SUM(C31:F31)</f>
        <v>10.5</v>
      </c>
      <c r="C31" s="35">
        <v>2</v>
      </c>
      <c r="D31" s="52">
        <v>2.5</v>
      </c>
      <c r="E31" s="52">
        <v>2.5</v>
      </c>
      <c r="F31" s="52">
        <v>3.5</v>
      </c>
      <c r="G31" s="49">
        <f>+(35800+42150+37900+11900+65100+32400)/100000</f>
        <v>2.2525</v>
      </c>
      <c r="H31" s="50">
        <f>+(34635+45550+35800+54550+29200+34400+17030)/100000</f>
        <v>2.51165</v>
      </c>
      <c r="I31" s="50">
        <f>+(35850+34450+27550+39000+21300+29900)/100000</f>
        <v>1.8805</v>
      </c>
      <c r="J31" s="50">
        <f>+(22550+17800+17400+46400+29396+18900+13600)/100000</f>
        <v>1.66046</v>
      </c>
      <c r="K31" s="76">
        <f>SUM(G31:J31)</f>
        <v>8.30511</v>
      </c>
      <c r="L31" s="50">
        <f>+((C31+D31+E31+F31)-(G31+H31+I31+J31))*-1</f>
        <v>-2.19489</v>
      </c>
      <c r="M31" s="91">
        <f>+K31/B31</f>
        <v>0.790962857142857</v>
      </c>
      <c r="N31" s="94"/>
      <c r="O31" s="95"/>
    </row>
    <row r="32" spans="1:15">
      <c r="A32" s="51" t="s">
        <v>271</v>
      </c>
      <c r="B32" s="48">
        <f>SUM(C32:F32)</f>
        <v>6</v>
      </c>
      <c r="C32" s="35">
        <v>1.5</v>
      </c>
      <c r="D32" s="52">
        <v>1.5</v>
      </c>
      <c r="E32" s="52">
        <v>1</v>
      </c>
      <c r="F32" s="52">
        <v>2</v>
      </c>
      <c r="G32" s="49">
        <f>+(7100+14400+6400+10000+14500+12200)/100000</f>
        <v>0.646</v>
      </c>
      <c r="H32" s="50">
        <f>+(10000+17600+20400+17100+44300+13600+5300+3500)/100000</f>
        <v>1.318</v>
      </c>
      <c r="I32" s="50">
        <f>+(20200+16100+38100+15100+15700+12900)/100000</f>
        <v>1.181</v>
      </c>
      <c r="J32" s="50">
        <f>+(25800+22250+54600+7600+7200+12200+6500)/100000</f>
        <v>1.3615</v>
      </c>
      <c r="K32" s="76">
        <f>SUM(G32:J32)</f>
        <v>4.5065</v>
      </c>
      <c r="L32" s="50">
        <f>+((C32+D32+E32+F32)-(G32+H32+I32+J32))*-1</f>
        <v>-1.4935</v>
      </c>
      <c r="M32" s="91">
        <f>+K32/B32</f>
        <v>0.751083333333333</v>
      </c>
      <c r="N32" s="92"/>
      <c r="O32" s="93"/>
    </row>
    <row r="33" spans="1:15">
      <c r="A33" s="51" t="s">
        <v>262</v>
      </c>
      <c r="B33" s="48">
        <f>SUM(C33:F33)</f>
        <v>10</v>
      </c>
      <c r="C33" s="35">
        <v>2.5</v>
      </c>
      <c r="D33" s="52">
        <v>2.5</v>
      </c>
      <c r="E33" s="52">
        <v>2</v>
      </c>
      <c r="F33" s="52">
        <v>3</v>
      </c>
      <c r="G33" s="49">
        <f>+(21150+17500+22900+26400+21600+30000)/100000</f>
        <v>1.3955</v>
      </c>
      <c r="H33" s="50">
        <f>+(82000+56900+46200+167700+32700+42400+40000)/100000</f>
        <v>4.679</v>
      </c>
      <c r="I33" s="50">
        <f>+(16640+35480+55500+20100+40600+39000)/100000</f>
        <v>2.0732</v>
      </c>
      <c r="J33" s="50">
        <f>+(34580+39800+65800+35400+31200+40300+28800)/100000</f>
        <v>2.7588</v>
      </c>
      <c r="K33" s="76">
        <f>SUM(G33:J33)</f>
        <v>10.9065</v>
      </c>
      <c r="L33" s="50">
        <f>+((C33+D33+E33+F33)-(G33+H33+I33+J33))*-1</f>
        <v>0.906500000000001</v>
      </c>
      <c r="M33" s="91">
        <f>+K33/B33</f>
        <v>1.09065</v>
      </c>
      <c r="N33" s="92"/>
      <c r="O33" s="93"/>
    </row>
    <row r="34" spans="1:15">
      <c r="A34" s="51" t="s">
        <v>172</v>
      </c>
      <c r="B34" s="48">
        <f>SUM(C34:F34)</f>
        <v>11.5</v>
      </c>
      <c r="C34" s="35">
        <v>3</v>
      </c>
      <c r="D34" s="52">
        <v>2.5</v>
      </c>
      <c r="E34" s="52">
        <v>3</v>
      </c>
      <c r="F34" s="52">
        <v>3</v>
      </c>
      <c r="G34" s="49">
        <f>+(58500+13100+67100+15900+129900+16700)/100000</f>
        <v>3.012</v>
      </c>
      <c r="H34" s="50">
        <f>+(16500+35600+57100+14000+177000+50100+19020)/100000</f>
        <v>3.6932</v>
      </c>
      <c r="I34" s="50">
        <f>+(34700+49780+27600+76000+42800+39000)/100000</f>
        <v>2.6988</v>
      </c>
      <c r="J34" s="50">
        <f>+(16700+25800+21900+16800+50400+66800+36900)/100000</f>
        <v>2.353</v>
      </c>
      <c r="K34" s="76">
        <f>SUM(G34:J34)</f>
        <v>11.757</v>
      </c>
      <c r="L34" s="50">
        <f>+((C34+D34+E34+F34)-(G34+H34+I34+J34))*-1</f>
        <v>0.257</v>
      </c>
      <c r="M34" s="91">
        <f>+K34/B34</f>
        <v>1.02234782608696</v>
      </c>
      <c r="N34" s="92"/>
      <c r="O34" s="93"/>
    </row>
    <row r="35" spans="1:15">
      <c r="A35" s="51" t="s">
        <v>141</v>
      </c>
      <c r="B35" s="48">
        <f>SUM(C35:F35)</f>
        <v>5.5</v>
      </c>
      <c r="C35" s="35">
        <v>1</v>
      </c>
      <c r="D35" s="52">
        <v>1.5</v>
      </c>
      <c r="E35" s="52">
        <v>1</v>
      </c>
      <c r="F35" s="52">
        <v>2</v>
      </c>
      <c r="G35" s="49">
        <f>+(10600+13000+25540+37840+25750+10500)/100000</f>
        <v>1.2323</v>
      </c>
      <c r="H35" s="50">
        <f>+(20500+10650+14800+11450+28000+44800+10950)/100000</f>
        <v>1.4115</v>
      </c>
      <c r="I35" s="50">
        <f>+(41800+21300+20800+51000+48920+50800)/100000</f>
        <v>2.3462</v>
      </c>
      <c r="J35" s="50">
        <f>+(59980+69200+45960+37800+37700+44450+93350)/100000</f>
        <v>3.8844</v>
      </c>
      <c r="K35" s="76">
        <f>SUM(G35:J35)</f>
        <v>8.8744</v>
      </c>
      <c r="L35" s="50">
        <f>+((C35+D35+E35+F35)-(G35+H35+I35+J35))*-1</f>
        <v>3.3744</v>
      </c>
      <c r="M35" s="91">
        <f>+K35/B35</f>
        <v>1.61352727272727</v>
      </c>
      <c r="N35" s="92"/>
      <c r="O35" s="93"/>
    </row>
    <row r="36" spans="1:15">
      <c r="A36" s="51" t="s">
        <v>167</v>
      </c>
      <c r="B36" s="48">
        <f>SUM(C36:F36)</f>
        <v>5</v>
      </c>
      <c r="C36" s="35">
        <v>1</v>
      </c>
      <c r="D36" s="52">
        <v>1.25</v>
      </c>
      <c r="E36" s="52">
        <v>1.25</v>
      </c>
      <c r="F36" s="52">
        <v>1.5</v>
      </c>
      <c r="G36" s="49">
        <f>+(42500+26300+29900+29900+36500+39150)/100000</f>
        <v>2.0425</v>
      </c>
      <c r="H36" s="50">
        <f>+(29900+55250+40600+29300+29200+32450+29800)/100000</f>
        <v>2.465</v>
      </c>
      <c r="I36" s="50">
        <f>+(28500+49500+49500)/100000</f>
        <v>1.275</v>
      </c>
      <c r="J36" s="50"/>
      <c r="K36" s="76">
        <f>SUM(G36:J36)</f>
        <v>5.7825</v>
      </c>
      <c r="L36" s="50">
        <f>+((C36+D36+E36+F36)-(G36+H36+I36+J36))*-1</f>
        <v>0.782500000000001</v>
      </c>
      <c r="M36" s="91">
        <f>+K36/B36</f>
        <v>1.1565</v>
      </c>
      <c r="N36" s="92"/>
      <c r="O36" s="93"/>
    </row>
    <row r="37" spans="1:15">
      <c r="A37" s="51" t="s">
        <v>267</v>
      </c>
      <c r="B37" s="48">
        <f>SUM(C37:F37)</f>
        <v>10.5</v>
      </c>
      <c r="C37" s="35">
        <v>2</v>
      </c>
      <c r="D37" s="52">
        <v>3</v>
      </c>
      <c r="E37" s="52">
        <v>2.5</v>
      </c>
      <c r="F37" s="52">
        <v>3</v>
      </c>
      <c r="G37" s="49">
        <f>+(29050+35300+44600+30800+21950+30050)/100000</f>
        <v>1.9175</v>
      </c>
      <c r="H37" s="50">
        <f>+(35450+43650+147400+65300+22900+91800+34050)/100000</f>
        <v>4.4055</v>
      </c>
      <c r="I37" s="50">
        <f>+(33242+37800+66800+57262+52050+31652)/100000</f>
        <v>2.78806</v>
      </c>
      <c r="J37" s="50">
        <f>+(38350+66830+120200+45150+33140+36900)/100000</f>
        <v>3.4057</v>
      </c>
      <c r="K37" s="76">
        <f>SUM(G37:J37)</f>
        <v>12.51676</v>
      </c>
      <c r="L37" s="50">
        <f>+((C37+D37+E37+F37)-(G37+H37+I37+J37))*-1</f>
        <v>2.01676</v>
      </c>
      <c r="M37" s="91">
        <f>+K37/B37</f>
        <v>1.19207238095238</v>
      </c>
      <c r="N37" s="92"/>
      <c r="O37" s="93"/>
    </row>
    <row r="38" spans="1:15">
      <c r="A38" s="51" t="s">
        <v>260</v>
      </c>
      <c r="B38" s="48">
        <f>SUM(C38:F38)</f>
        <v>7</v>
      </c>
      <c r="C38" s="35">
        <v>1.5</v>
      </c>
      <c r="D38" s="52">
        <v>2</v>
      </c>
      <c r="E38" s="52">
        <v>1.5</v>
      </c>
      <c r="F38" s="52">
        <v>2</v>
      </c>
      <c r="G38" s="49">
        <f>+(13650+6300+25500+68700+20200+30200)/100000</f>
        <v>1.6455</v>
      </c>
      <c r="H38" s="50">
        <f>+(52150+20600+36800+15900+26750+31400+17300)/100000</f>
        <v>2.009</v>
      </c>
      <c r="I38" s="50">
        <f>+(14300+26410+28100+10100+15100+13400)/100000</f>
        <v>1.0741</v>
      </c>
      <c r="J38" s="50">
        <f>+(43300+30700+11500+22900+4300+15056)/100000</f>
        <v>1.27756</v>
      </c>
      <c r="K38" s="76">
        <f>SUM(G38:J38)</f>
        <v>6.00616</v>
      </c>
      <c r="L38" s="50">
        <f>+((C38+D38+E38+F38)-(G38+H38+I38+J38))*-1</f>
        <v>-0.99384</v>
      </c>
      <c r="M38" s="91">
        <f>+K38/B38</f>
        <v>0.858022857142857</v>
      </c>
      <c r="N38" s="92"/>
      <c r="O38" s="93"/>
    </row>
    <row r="39" spans="1:15">
      <c r="A39" s="51" t="s">
        <v>279</v>
      </c>
      <c r="B39" s="48">
        <f>SUM(C39:F39)</f>
        <v>0.5</v>
      </c>
      <c r="C39" s="35">
        <v>0.1</v>
      </c>
      <c r="D39" s="52">
        <v>0.2</v>
      </c>
      <c r="E39" s="52">
        <v>0.1</v>
      </c>
      <c r="F39" s="52">
        <v>0.1</v>
      </c>
      <c r="G39" s="49">
        <f>+(3700+1500+1500+1200+3800+3900)/100000</f>
        <v>0.156</v>
      </c>
      <c r="H39" s="50">
        <f>+(6100+7300+1800+1200+1800+1700)/100000</f>
        <v>0.199</v>
      </c>
      <c r="I39" s="50">
        <f>+(1800+1500+1600+1500+4000+1200)/100000</f>
        <v>0.116</v>
      </c>
      <c r="J39" s="50">
        <f>+(1900+1400+1800+2000+2000+2200)/100000</f>
        <v>0.113</v>
      </c>
      <c r="K39" s="76">
        <f>SUM(G39:J39)</f>
        <v>0.584</v>
      </c>
      <c r="L39" s="50">
        <f>+((C39+D39+E39+F39)-(G39+H39+I39+J39))*-1</f>
        <v>0.084</v>
      </c>
      <c r="M39" s="91">
        <f>+K39/B39</f>
        <v>1.168</v>
      </c>
      <c r="N39" s="92"/>
      <c r="O39" s="93"/>
    </row>
    <row r="40" spans="1:15">
      <c r="A40" s="53" t="s">
        <v>29</v>
      </c>
      <c r="B40" s="48">
        <f>SUM(C40:F40)</f>
        <v>3</v>
      </c>
      <c r="C40" s="34">
        <v>0.5</v>
      </c>
      <c r="D40" s="34">
        <v>1</v>
      </c>
      <c r="E40" s="34">
        <v>0.5</v>
      </c>
      <c r="F40" s="34">
        <v>1</v>
      </c>
      <c r="G40" s="49">
        <f>+(4000+10000+5000+5000)/100000</f>
        <v>0.24</v>
      </c>
      <c r="H40" s="50">
        <f>+(8000+7000)/100000</f>
        <v>0.15</v>
      </c>
      <c r="I40" s="50">
        <f>+(10000+84800+15000)/100000</f>
        <v>1.098</v>
      </c>
      <c r="J40" s="50">
        <f>+(12600+8000+13200)/100000</f>
        <v>0.338</v>
      </c>
      <c r="K40" s="76">
        <f>SUM(G40:J40)</f>
        <v>1.826</v>
      </c>
      <c r="L40" s="50">
        <f>+((C40+D40+E40+F40)-(G40+H40+I40+J40))*-1</f>
        <v>-1.174</v>
      </c>
      <c r="M40" s="91">
        <f>+K40/B40</f>
        <v>0.608666666666667</v>
      </c>
      <c r="N40" s="92"/>
      <c r="O40" s="93"/>
    </row>
    <row r="41" spans="1:15">
      <c r="A41" s="53" t="s">
        <v>35</v>
      </c>
      <c r="B41" s="48">
        <f>SUM(C41:F41)</f>
        <v>3.5</v>
      </c>
      <c r="C41" s="35">
        <v>0.75</v>
      </c>
      <c r="D41" s="52">
        <v>1</v>
      </c>
      <c r="E41" s="52">
        <v>0.75</v>
      </c>
      <c r="F41" s="52">
        <v>1</v>
      </c>
      <c r="G41" s="49"/>
      <c r="H41" s="50">
        <f>+(15400)/100000</f>
        <v>0.154</v>
      </c>
      <c r="I41" s="50">
        <f>+(18200+44000)/100000</f>
        <v>0.622</v>
      </c>
      <c r="J41" s="50">
        <f>+(200000)/100000</f>
        <v>2</v>
      </c>
      <c r="K41" s="76">
        <f>SUM(G41:J41)</f>
        <v>2.776</v>
      </c>
      <c r="L41" s="50">
        <f>+((C41+D41+E41+F41)-(G41+H41+I41+J41))*-1</f>
        <v>-0.724</v>
      </c>
      <c r="M41" s="91">
        <f>+K41/B41</f>
        <v>0.793142857142857</v>
      </c>
      <c r="N41" s="92"/>
      <c r="O41" s="93"/>
    </row>
    <row r="42" spans="1:15">
      <c r="A42" s="53" t="s">
        <v>38</v>
      </c>
      <c r="B42" s="48">
        <f>SUM(C42:F42)</f>
        <v>26</v>
      </c>
      <c r="C42" s="35">
        <v>6</v>
      </c>
      <c r="D42" s="52">
        <v>7</v>
      </c>
      <c r="E42" s="52">
        <v>6</v>
      </c>
      <c r="F42" s="52">
        <v>7</v>
      </c>
      <c r="G42" s="49">
        <f>+(79950+26665+50510+241370+155000+44200+27080+54600+44700+88400+60385)/100000</f>
        <v>8.7286</v>
      </c>
      <c r="H42" s="50">
        <f>+(18612+16700+78100+137400+52705+75000+14670+11750+54600+500+5000+50145+19500+4400)/100000</f>
        <v>5.39082</v>
      </c>
      <c r="I42" s="50">
        <f>+(42400+10000+55000+29600+19900+265340+30000+15612+9640+7420+65600+23800+14500)/100000</f>
        <v>5.88812</v>
      </c>
      <c r="J42" s="50">
        <f>+(38060+9600+9900+46400+118815+13200+400+6690+5000+1200+4500+18860+26497+19660+22400+24000+31630+36000)/100000</f>
        <v>4.32812</v>
      </c>
      <c r="K42" s="76">
        <f>SUM(G42:J42)</f>
        <v>24.33566</v>
      </c>
      <c r="L42" s="50">
        <f>+((C42+D42+E42+F42)-(G42+H42+I42+J42))*-1</f>
        <v>-1.66434</v>
      </c>
      <c r="M42" s="91">
        <f>+K42/B42</f>
        <v>0.935986923076923</v>
      </c>
      <c r="N42" s="92"/>
      <c r="O42" s="93"/>
    </row>
    <row r="43" spans="1:15">
      <c r="A43" s="54" t="s">
        <v>44</v>
      </c>
      <c r="B43" s="48">
        <f>SUM(C43:F43)</f>
        <v>150</v>
      </c>
      <c r="C43" s="35">
        <f t="shared" ref="C43:J43" si="9">SUM(C27:C42)</f>
        <v>32.35</v>
      </c>
      <c r="D43" s="48">
        <f>SUM(D27:D42)</f>
        <v>39.45</v>
      </c>
      <c r="E43" s="48">
        <f>SUM(E27:E42)</f>
        <v>34.1</v>
      </c>
      <c r="F43" s="48">
        <f>SUM(F27:F42)</f>
        <v>44.1</v>
      </c>
      <c r="G43" s="49">
        <f>SUM(G27:G42)</f>
        <v>31.87285</v>
      </c>
      <c r="H43" s="50">
        <f>SUM(H27:H42)</f>
        <v>41.07027</v>
      </c>
      <c r="I43" s="50">
        <f>SUM(I27:I42)</f>
        <v>34.06178</v>
      </c>
      <c r="J43" s="50">
        <f>SUM(J27:J42)</f>
        <v>35.20186</v>
      </c>
      <c r="K43" s="76">
        <f>SUM(G43:J43)</f>
        <v>142.20676</v>
      </c>
      <c r="L43" s="50">
        <f>+((C43+D43+E43+F43)-(G43+H43+I43+J43))*-1</f>
        <v>-7.79324</v>
      </c>
      <c r="M43" s="91">
        <f>+K43/B43</f>
        <v>0.948045066666667</v>
      </c>
      <c r="N43" s="92"/>
      <c r="O43" s="93"/>
    </row>
    <row r="44" spans="1:15">
      <c r="A44" s="55"/>
      <c r="B44" s="56"/>
      <c r="C44" s="57"/>
      <c r="N44" s="94"/>
      <c r="O44" s="95"/>
    </row>
    <row r="45" spans="14:15">
      <c r="N45" s="92"/>
      <c r="O45" s="93"/>
    </row>
    <row r="46" spans="14:15">
      <c r="N46" s="92"/>
      <c r="O46" s="93"/>
    </row>
    <row r="47" spans="2:15">
      <c r="B47" s="1"/>
      <c r="N47" s="92"/>
      <c r="O47" s="93"/>
    </row>
    <row r="48" spans="2:15">
      <c r="B48" s="1"/>
      <c r="N48" s="92"/>
      <c r="O48" s="93"/>
    </row>
    <row r="49" spans="2:15">
      <c r="B49" s="1"/>
      <c r="N49" s="92"/>
      <c r="O49" s="93"/>
    </row>
    <row r="50" spans="2:15">
      <c r="B50" s="1"/>
      <c r="N50" s="92"/>
      <c r="O50" s="93"/>
    </row>
    <row r="51" spans="2:15">
      <c r="B51" s="1"/>
      <c r="N51" s="92"/>
      <c r="O51" s="93"/>
    </row>
    <row r="52" spans="2:15">
      <c r="B52" s="1"/>
      <c r="N52" s="92"/>
      <c r="O52" s="93"/>
    </row>
    <row r="53" spans="2:15">
      <c r="B53" s="1"/>
      <c r="N53" s="92"/>
      <c r="O53" s="93"/>
    </row>
    <row r="54" spans="2:15">
      <c r="B54" s="1"/>
      <c r="N54" s="94"/>
      <c r="O54" s="95"/>
    </row>
    <row r="55" spans="2:15">
      <c r="B55" s="1"/>
      <c r="N55" s="92"/>
      <c r="O55" s="93"/>
    </row>
    <row r="56" spans="2:15">
      <c r="B56" s="1"/>
      <c r="N56" s="92"/>
      <c r="O56" s="93"/>
    </row>
    <row r="57" spans="2:15">
      <c r="B57" s="1"/>
      <c r="N57" s="92"/>
      <c r="O57" s="93"/>
    </row>
    <row r="58" spans="2:15">
      <c r="B58" s="1"/>
      <c r="N58" s="92"/>
      <c r="O58" s="93"/>
    </row>
    <row r="59" spans="2:15">
      <c r="B59" s="1"/>
      <c r="N59" s="92"/>
      <c r="O59" s="93"/>
    </row>
    <row r="60" spans="2:15">
      <c r="B60" s="1"/>
      <c r="N60" s="92"/>
      <c r="O60" s="93"/>
    </row>
    <row r="61" spans="2:15">
      <c r="B61" s="1"/>
      <c r="N61" s="92"/>
      <c r="O61" s="93"/>
    </row>
    <row r="62" spans="2:15">
      <c r="B62" s="1"/>
      <c r="N62" s="94"/>
      <c r="O62" s="95"/>
    </row>
    <row r="63" spans="2:15">
      <c r="B63" s="1"/>
      <c r="N63" s="92"/>
      <c r="O63" s="93"/>
    </row>
    <row r="64" spans="2:15">
      <c r="B64" s="1"/>
      <c r="N64" s="92"/>
      <c r="O64" s="93"/>
    </row>
    <row r="65" spans="2:15">
      <c r="B65" s="1"/>
      <c r="N65" s="92"/>
      <c r="O65" s="93"/>
    </row>
    <row r="66" spans="2:15">
      <c r="B66" s="1"/>
      <c r="N66" s="92"/>
      <c r="O66" s="93"/>
    </row>
    <row r="67" spans="2:15">
      <c r="B67" s="1"/>
      <c r="N67" s="92"/>
      <c r="O67" s="93"/>
    </row>
    <row r="68" spans="2:15">
      <c r="B68" s="1"/>
      <c r="N68" s="92"/>
      <c r="O68" s="93"/>
    </row>
    <row r="69" spans="2:15">
      <c r="B69" s="1"/>
      <c r="N69" s="92"/>
      <c r="O69" s="93"/>
    </row>
    <row r="70" spans="2:15">
      <c r="B70" s="1"/>
      <c r="N70" s="92"/>
      <c r="O70" s="96"/>
    </row>
  </sheetData>
  <mergeCells count="5">
    <mergeCell ref="D5:F5"/>
    <mergeCell ref="C6:F6"/>
    <mergeCell ref="G6:J6"/>
    <mergeCell ref="C25:F25"/>
    <mergeCell ref="G25:J25"/>
  </mergeCells>
  <pageMargins left="0.699305555555556" right="0.699305555555556" top="0.75" bottom="0.75" header="0.3" footer="0.3"/>
  <pageSetup paperSize="9" orientation="landscape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71"/>
  <sheetViews>
    <sheetView workbookViewId="0">
      <selection activeCell="N32" sqref="N32"/>
    </sheetView>
  </sheetViews>
  <sheetFormatPr defaultColWidth="9" defaultRowHeight="15"/>
  <cols>
    <col min="1" max="1" width="17.4285714285714" style="1" customWidth="1"/>
    <col min="2" max="2" width="9" style="2" customWidth="1"/>
    <col min="3" max="3" width="8.42857142857143" style="1" customWidth="1"/>
    <col min="4" max="4" width="8.57142857142857" style="1" customWidth="1"/>
    <col min="5" max="5" width="8.28571428571429" style="1" customWidth="1"/>
    <col min="6" max="6" width="8.71428571428571" style="1" customWidth="1"/>
    <col min="7" max="7" width="8.28571428571429" style="1" customWidth="1"/>
    <col min="8" max="8" width="8.85714285714286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ht="13.5" customHeight="1" spans="1:13">
      <c r="A1" s="3" t="s">
        <v>280</v>
      </c>
      <c r="B1" s="4" t="s">
        <v>281</v>
      </c>
      <c r="C1" s="5"/>
      <c r="D1" s="5"/>
      <c r="E1" s="5"/>
      <c r="F1" s="5"/>
      <c r="G1" s="5"/>
      <c r="H1" s="5"/>
      <c r="I1" s="5"/>
      <c r="J1" s="5"/>
      <c r="K1" s="5"/>
      <c r="L1" s="5"/>
      <c r="M1" s="58"/>
    </row>
    <row r="2" spans="1:13">
      <c r="A2" s="6" t="s">
        <v>2</v>
      </c>
      <c r="B2" s="7">
        <f>+K26</f>
        <v>223.5</v>
      </c>
      <c r="C2" s="8"/>
      <c r="D2" s="8"/>
      <c r="E2" s="8"/>
      <c r="F2" s="8"/>
      <c r="G2" s="9"/>
      <c r="H2" s="10"/>
      <c r="I2" s="59"/>
      <c r="J2" s="10"/>
      <c r="K2" s="10"/>
      <c r="L2" s="10"/>
      <c r="M2" s="104"/>
    </row>
    <row r="3" ht="12" customHeight="1" spans="1:13">
      <c r="A3" s="6" t="s">
        <v>3</v>
      </c>
      <c r="B3" s="7">
        <f>+M26</f>
        <v>0</v>
      </c>
      <c r="C3" s="8"/>
      <c r="D3" s="8"/>
      <c r="E3" s="8"/>
      <c r="F3" s="8"/>
      <c r="G3" s="9"/>
      <c r="H3" s="10"/>
      <c r="I3" s="10"/>
      <c r="J3" s="10"/>
      <c r="K3" s="10"/>
      <c r="L3" s="61"/>
      <c r="M3" s="105"/>
    </row>
    <row r="4" spans="1:13">
      <c r="A4" s="6" t="s">
        <v>282</v>
      </c>
      <c r="B4" s="11"/>
      <c r="C4" s="12"/>
      <c r="D4" s="13" t="s">
        <v>5</v>
      </c>
      <c r="E4" s="12">
        <v>10.5</v>
      </c>
      <c r="F4" s="12"/>
      <c r="G4" s="14" t="s">
        <v>78</v>
      </c>
      <c r="H4" s="15"/>
      <c r="I4" s="62" t="s">
        <v>7</v>
      </c>
      <c r="J4" s="13">
        <f>+K44</f>
        <v>126.74569</v>
      </c>
      <c r="K4" s="12" t="s">
        <v>8</v>
      </c>
      <c r="L4" s="12" t="s">
        <v>149</v>
      </c>
      <c r="M4" s="106"/>
    </row>
    <row r="5" spans="1:13">
      <c r="A5" s="16" t="s">
        <v>10</v>
      </c>
      <c r="B5" s="17" t="s">
        <v>283</v>
      </c>
      <c r="C5" s="18" t="s">
        <v>284</v>
      </c>
      <c r="D5" s="19">
        <v>10906750</v>
      </c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2.5" customHeight="1" spans="1:13">
      <c r="A7" s="25" t="s">
        <v>16</v>
      </c>
      <c r="B7" s="25" t="s">
        <v>17</v>
      </c>
      <c r="C7" s="25" t="s">
        <v>152</v>
      </c>
      <c r="D7" s="25" t="s">
        <v>153</v>
      </c>
      <c r="E7" s="25" t="s">
        <v>123</v>
      </c>
      <c r="F7" s="25" t="s">
        <v>130</v>
      </c>
      <c r="G7" s="25" t="s">
        <v>152</v>
      </c>
      <c r="H7" s="25" t="s">
        <v>154</v>
      </c>
      <c r="I7" s="25" t="s">
        <v>155</v>
      </c>
      <c r="J7" s="25" t="s">
        <v>131</v>
      </c>
      <c r="K7" s="25" t="s">
        <v>22</v>
      </c>
      <c r="L7" s="25" t="s">
        <v>23</v>
      </c>
      <c r="M7" s="25" t="s">
        <v>24</v>
      </c>
    </row>
    <row r="8" ht="16.5" customHeight="1" spans="1:13">
      <c r="A8" s="112" t="s">
        <v>285</v>
      </c>
      <c r="B8" s="33">
        <f>SUM(C8:F8)</f>
        <v>10</v>
      </c>
      <c r="C8" s="33">
        <v>0</v>
      </c>
      <c r="D8" s="33">
        <v>5</v>
      </c>
      <c r="E8" s="33">
        <v>5</v>
      </c>
      <c r="F8" s="33">
        <v>0</v>
      </c>
      <c r="G8" s="33"/>
      <c r="H8" s="33"/>
      <c r="I8" s="33"/>
      <c r="J8" s="33"/>
      <c r="K8" s="48">
        <f>SUM(G8:J8)</f>
        <v>0</v>
      </c>
      <c r="L8" s="48">
        <f>+((C8+D8+E8+F8)-(G8+H8+I8+J8))*-1</f>
        <v>-10</v>
      </c>
      <c r="M8" s="33"/>
    </row>
    <row r="9" spans="1:13">
      <c r="A9" s="29" t="s">
        <v>26</v>
      </c>
      <c r="B9" s="113">
        <f t="shared" ref="B9:B26" si="0">SUM(C9:F9)</f>
        <v>25</v>
      </c>
      <c r="C9" s="34">
        <v>5</v>
      </c>
      <c r="D9" s="34">
        <v>7</v>
      </c>
      <c r="E9" s="34">
        <v>7</v>
      </c>
      <c r="F9" s="33">
        <v>6</v>
      </c>
      <c r="G9" s="48">
        <v>4</v>
      </c>
      <c r="H9" s="48">
        <v>9</v>
      </c>
      <c r="I9" s="48">
        <v>5</v>
      </c>
      <c r="J9" s="48">
        <v>5</v>
      </c>
      <c r="K9" s="48">
        <f t="shared" ref="K9:K26" si="1">SUM(G9:J9)</f>
        <v>23</v>
      </c>
      <c r="L9" s="48">
        <f t="shared" ref="L9:L26" si="2">+((C9+D9+E9+F9)-(G9+H9+I9+J9))*-1</f>
        <v>-2</v>
      </c>
      <c r="M9" s="48"/>
    </row>
    <row r="10" spans="1:13">
      <c r="A10" s="29" t="s">
        <v>286</v>
      </c>
      <c r="B10" s="113">
        <f>SUM(C10:F10)</f>
        <v>25</v>
      </c>
      <c r="C10" s="34">
        <v>5</v>
      </c>
      <c r="D10" s="34">
        <v>6</v>
      </c>
      <c r="E10" s="34">
        <v>7</v>
      </c>
      <c r="F10" s="33">
        <v>7</v>
      </c>
      <c r="G10" s="48">
        <v>3</v>
      </c>
      <c r="H10" s="48">
        <v>1</v>
      </c>
      <c r="I10" s="48">
        <v>3.5</v>
      </c>
      <c r="J10" s="48">
        <v>5.5</v>
      </c>
      <c r="K10" s="48">
        <f>SUM(G10:J10)</f>
        <v>13</v>
      </c>
      <c r="L10" s="48">
        <f>+((C10+D10+E10+F10)-(G10+H10+I10+J10))*-1</f>
        <v>-12</v>
      </c>
      <c r="M10" s="48"/>
    </row>
    <row r="11" spans="1:17">
      <c r="A11" s="29" t="s">
        <v>261</v>
      </c>
      <c r="B11" s="113">
        <f>SUM(C11:F11)</f>
        <v>10</v>
      </c>
      <c r="C11" s="34">
        <v>2</v>
      </c>
      <c r="D11" s="34">
        <v>3</v>
      </c>
      <c r="E11" s="34">
        <v>2</v>
      </c>
      <c r="F11" s="33">
        <v>3</v>
      </c>
      <c r="G11" s="48">
        <v>0.5</v>
      </c>
      <c r="H11" s="48">
        <v>1</v>
      </c>
      <c r="I11" s="48">
        <v>2</v>
      </c>
      <c r="J11" s="48">
        <v>2</v>
      </c>
      <c r="K11" s="48">
        <f>SUM(G11:J11)</f>
        <v>5.5</v>
      </c>
      <c r="L11" s="48">
        <f>+((C11+D11+E11+F11)-(G11+H11+I11+J11))*-1</f>
        <v>-4.5</v>
      </c>
      <c r="M11" s="48"/>
      <c r="Q11"/>
    </row>
    <row r="12" spans="1:13">
      <c r="A12" s="29" t="s">
        <v>222</v>
      </c>
      <c r="B12" s="33">
        <f>SUM(C12:F12)</f>
        <v>5</v>
      </c>
      <c r="C12" s="34">
        <v>1</v>
      </c>
      <c r="D12" s="34">
        <v>1</v>
      </c>
      <c r="E12" s="34">
        <v>2</v>
      </c>
      <c r="F12" s="33">
        <v>1</v>
      </c>
      <c r="G12" s="48"/>
      <c r="H12" s="48"/>
      <c r="I12" s="48"/>
      <c r="J12" s="48"/>
      <c r="K12" s="48">
        <f>SUM(G12:J12)</f>
        <v>0</v>
      </c>
      <c r="L12" s="48">
        <f>+((C12+D12+E12+F12)-(G12+H12+I12+J12))*-1</f>
        <v>-5</v>
      </c>
      <c r="M12" s="48"/>
    </row>
    <row r="13" ht="15.75" customHeight="1" spans="1:13">
      <c r="A13" s="29" t="s">
        <v>266</v>
      </c>
      <c r="B13" s="33">
        <f>SUM(C13:F13)</f>
        <v>5</v>
      </c>
      <c r="C13" s="34">
        <v>1</v>
      </c>
      <c r="D13" s="34">
        <v>1</v>
      </c>
      <c r="E13" s="34">
        <v>1</v>
      </c>
      <c r="F13" s="33">
        <v>2</v>
      </c>
      <c r="G13" s="48"/>
      <c r="H13" s="48"/>
      <c r="I13" s="48"/>
      <c r="J13" s="48"/>
      <c r="K13" s="48">
        <f>SUM(G13:J13)</f>
        <v>0</v>
      </c>
      <c r="L13" s="48">
        <f>+((C13+D13+E13+F13)-(G13+H13+I13+J13))*-1</f>
        <v>-5</v>
      </c>
      <c r="M13" s="48"/>
    </row>
    <row r="14" spans="1:13">
      <c r="A14" s="29" t="s">
        <v>287</v>
      </c>
      <c r="B14" s="33">
        <f>SUM(C14:F14)</f>
        <v>5</v>
      </c>
      <c r="C14" s="34">
        <v>1</v>
      </c>
      <c r="D14" s="34">
        <v>1</v>
      </c>
      <c r="E14" s="34">
        <v>2</v>
      </c>
      <c r="F14" s="33">
        <v>1</v>
      </c>
      <c r="G14" s="48"/>
      <c r="H14" s="48"/>
      <c r="I14" s="48"/>
      <c r="J14" s="48"/>
      <c r="K14" s="48">
        <f>SUM(G14:J14)</f>
        <v>0</v>
      </c>
      <c r="L14" s="48">
        <f>+((C14+D14+E14+F14)-(G14+H14+I14+J14))*-1</f>
        <v>-5</v>
      </c>
      <c r="M14" s="48"/>
    </row>
    <row r="15" spans="1:13">
      <c r="A15" s="29" t="s">
        <v>209</v>
      </c>
      <c r="B15" s="33">
        <f>SUM(C15:F15)</f>
        <v>5</v>
      </c>
      <c r="C15" s="34">
        <v>1</v>
      </c>
      <c r="D15" s="34">
        <v>1</v>
      </c>
      <c r="E15" s="34">
        <v>1</v>
      </c>
      <c r="F15" s="33">
        <v>2</v>
      </c>
      <c r="G15" s="48"/>
      <c r="H15" s="48"/>
      <c r="I15" s="48"/>
      <c r="J15" s="48"/>
      <c r="K15" s="48">
        <f>SUM(G15:J15)</f>
        <v>0</v>
      </c>
      <c r="L15" s="48">
        <f>+((C15+D15+E15+F15)-(G15+H15+I15+J15))*-1</f>
        <v>-5</v>
      </c>
      <c r="M15" s="48"/>
    </row>
    <row r="16" spans="1:13">
      <c r="A16" s="118" t="s">
        <v>288</v>
      </c>
      <c r="B16" s="33">
        <f>SUM(C16:F16)</f>
        <v>10</v>
      </c>
      <c r="C16" s="34">
        <v>0</v>
      </c>
      <c r="D16" s="34">
        <v>5</v>
      </c>
      <c r="E16" s="34">
        <v>5</v>
      </c>
      <c r="F16" s="34">
        <v>0</v>
      </c>
      <c r="G16" s="48"/>
      <c r="H16" s="48"/>
      <c r="I16" s="48"/>
      <c r="J16" s="48"/>
      <c r="K16" s="48">
        <f>SUM(G16:J16)</f>
        <v>0</v>
      </c>
      <c r="L16" s="48">
        <f>+((C16+D16+E16+F16)-(G16+H16+I16+J16))*-1</f>
        <v>-10</v>
      </c>
      <c r="M16" s="48"/>
    </row>
    <row r="17" spans="1:13">
      <c r="A17" s="114" t="s">
        <v>289</v>
      </c>
      <c r="B17" s="33">
        <f>SUM(C17:F17)</f>
        <v>25</v>
      </c>
      <c r="C17" s="34">
        <v>5</v>
      </c>
      <c r="D17" s="34">
        <v>6</v>
      </c>
      <c r="E17" s="34">
        <v>7</v>
      </c>
      <c r="F17" s="34">
        <v>7</v>
      </c>
      <c r="G17" s="48">
        <v>0.5</v>
      </c>
      <c r="H17" s="48">
        <v>2</v>
      </c>
      <c r="I17" s="48"/>
      <c r="J17" s="48"/>
      <c r="K17" s="48">
        <f>SUM(G17:J17)</f>
        <v>2.5</v>
      </c>
      <c r="L17" s="48">
        <f>+((C17+D17+E17+F17)-(G17+H17+I17+J17))*-1</f>
        <v>-22.5</v>
      </c>
      <c r="M17" s="48"/>
    </row>
    <row r="18" spans="1:13">
      <c r="A18" s="114" t="s">
        <v>141</v>
      </c>
      <c r="B18" s="33">
        <f>SUM(C18:F18)</f>
        <v>20</v>
      </c>
      <c r="C18" s="34">
        <v>5</v>
      </c>
      <c r="D18" s="34">
        <v>5</v>
      </c>
      <c r="E18" s="34">
        <v>5</v>
      </c>
      <c r="F18" s="34">
        <v>5</v>
      </c>
      <c r="G18" s="48">
        <v>2</v>
      </c>
      <c r="H18" s="48">
        <v>3</v>
      </c>
      <c r="I18" s="48">
        <v>2</v>
      </c>
      <c r="J18" s="48"/>
      <c r="K18" s="48">
        <f>SUM(G18:J18)</f>
        <v>7</v>
      </c>
      <c r="L18" s="48">
        <f>+((C18+D18+E18+F18)-(G18+H18+I18+J18))*-1</f>
        <v>-13</v>
      </c>
      <c r="M18" s="48"/>
    </row>
    <row r="19" spans="1:13">
      <c r="A19" s="114" t="s">
        <v>290</v>
      </c>
      <c r="B19" s="33">
        <f>SUM(C19:F19)</f>
        <v>10</v>
      </c>
      <c r="C19" s="34">
        <v>2</v>
      </c>
      <c r="D19" s="34">
        <v>3</v>
      </c>
      <c r="E19" s="34">
        <v>2</v>
      </c>
      <c r="F19" s="34">
        <v>3</v>
      </c>
      <c r="G19" s="48"/>
      <c r="H19" s="48"/>
      <c r="I19" s="48"/>
      <c r="J19" s="48">
        <v>25</v>
      </c>
      <c r="K19" s="48">
        <f>SUM(G19:J19)</f>
        <v>25</v>
      </c>
      <c r="L19" s="48">
        <f>+((C19+D19+E19+F19)-(G19+H19+I19+J19))*-1</f>
        <v>15</v>
      </c>
      <c r="M19" s="48"/>
    </row>
    <row r="20" spans="1:13">
      <c r="A20" s="114" t="s">
        <v>262</v>
      </c>
      <c r="B20" s="33">
        <f>SUM(C20:F20)</f>
        <v>5</v>
      </c>
      <c r="C20" s="34">
        <v>1</v>
      </c>
      <c r="D20" s="34">
        <v>1</v>
      </c>
      <c r="E20" s="34">
        <v>1</v>
      </c>
      <c r="F20" s="34">
        <v>2</v>
      </c>
      <c r="G20" s="48"/>
      <c r="H20" s="48">
        <v>1</v>
      </c>
      <c r="I20" s="48"/>
      <c r="J20" s="48"/>
      <c r="K20" s="48">
        <f>SUM(G20:J20)</f>
        <v>1</v>
      </c>
      <c r="L20" s="48">
        <f>+((C20+D20+E20+F20)-(G20+H20+I20+J20))*-1</f>
        <v>-4</v>
      </c>
      <c r="M20" s="48"/>
    </row>
    <row r="21" spans="1:13">
      <c r="A21" s="114" t="s">
        <v>291</v>
      </c>
      <c r="B21" s="33">
        <f>SUM(C21:F21)</f>
        <v>5</v>
      </c>
      <c r="C21" s="34">
        <v>1</v>
      </c>
      <c r="D21" s="34">
        <v>1</v>
      </c>
      <c r="E21" s="34">
        <v>1</v>
      </c>
      <c r="F21" s="34">
        <v>2</v>
      </c>
      <c r="G21" s="48"/>
      <c r="H21" s="48"/>
      <c r="I21" s="48"/>
      <c r="J21" s="48"/>
      <c r="K21" s="48">
        <f>SUM(G21:J21)</f>
        <v>0</v>
      </c>
      <c r="L21" s="48">
        <f>+((C21+D21+E21+F21)-(G21+H21+I21+J21))*-1</f>
        <v>-5</v>
      </c>
      <c r="M21" s="48"/>
    </row>
    <row r="22" spans="1:13">
      <c r="A22" s="114" t="s">
        <v>292</v>
      </c>
      <c r="B22" s="33">
        <f>SUM(C22:F22)</f>
        <v>5</v>
      </c>
      <c r="C22" s="34">
        <v>1</v>
      </c>
      <c r="D22" s="34">
        <v>1</v>
      </c>
      <c r="E22" s="34">
        <v>2</v>
      </c>
      <c r="F22" s="34">
        <v>1</v>
      </c>
      <c r="G22" s="48">
        <v>1</v>
      </c>
      <c r="H22" s="48"/>
      <c r="I22" s="48"/>
      <c r="J22" s="48"/>
      <c r="K22" s="48">
        <f>SUM(G22:J22)</f>
        <v>1</v>
      </c>
      <c r="L22" s="48">
        <f>+((C22+D22+E22+F22)-(G22+H22+I22+J22))*-1</f>
        <v>-4</v>
      </c>
      <c r="M22" s="48"/>
    </row>
    <row r="23" spans="1:13">
      <c r="A23" s="114" t="s">
        <v>267</v>
      </c>
      <c r="B23" s="33">
        <f>SUM(C23:F23)</f>
        <v>5</v>
      </c>
      <c r="C23" s="34">
        <v>1</v>
      </c>
      <c r="D23" s="34">
        <v>2</v>
      </c>
      <c r="E23" s="34">
        <v>1</v>
      </c>
      <c r="F23" s="34">
        <v>1</v>
      </c>
      <c r="G23" s="48">
        <v>1</v>
      </c>
      <c r="H23" s="48"/>
      <c r="I23" s="48">
        <v>1.5</v>
      </c>
      <c r="J23" s="48"/>
      <c r="K23" s="48">
        <f>SUM(G23:J23)</f>
        <v>2.5</v>
      </c>
      <c r="L23" s="48">
        <f>+((C23+D23+E23+F23)-(G23+H23+I23+J23))*-1</f>
        <v>-2.5</v>
      </c>
      <c r="M23" s="48"/>
    </row>
    <row r="24" spans="1:13">
      <c r="A24" s="115" t="s">
        <v>268</v>
      </c>
      <c r="B24" s="33">
        <f>SUM(C24:F24)</f>
        <v>25</v>
      </c>
      <c r="C24" s="34">
        <v>5</v>
      </c>
      <c r="D24" s="34">
        <v>5</v>
      </c>
      <c r="E24" s="34">
        <v>7</v>
      </c>
      <c r="F24" s="34">
        <v>8</v>
      </c>
      <c r="G24" s="34"/>
      <c r="H24" s="35">
        <v>8</v>
      </c>
      <c r="I24" s="35">
        <v>5</v>
      </c>
      <c r="J24" s="35"/>
      <c r="K24" s="48">
        <f>SUM(G24:J24)</f>
        <v>13</v>
      </c>
      <c r="L24" s="48">
        <f>+((C24+D24+E24+F24)-(G24+H24+I24+J24))*-1</f>
        <v>-12</v>
      </c>
      <c r="M24" s="35"/>
    </row>
    <row r="25" spans="1:13">
      <c r="A25" s="116" t="s">
        <v>269</v>
      </c>
      <c r="B25" s="33">
        <f>SUM(C25:F25)</f>
        <v>100</v>
      </c>
      <c r="C25" s="37">
        <v>20</v>
      </c>
      <c r="D25" s="37">
        <v>20</v>
      </c>
      <c r="E25" s="37">
        <v>30</v>
      </c>
      <c r="F25" s="37">
        <v>30</v>
      </c>
      <c r="G25" s="38">
        <v>11</v>
      </c>
      <c r="H25" s="39">
        <v>2</v>
      </c>
      <c r="I25" s="39">
        <v>52</v>
      </c>
      <c r="J25" s="39">
        <v>65</v>
      </c>
      <c r="K25" s="48">
        <f>SUM(G25:J25)</f>
        <v>130</v>
      </c>
      <c r="L25" s="48">
        <f>+((C25+D25+E25+F25)-(G25+H25+I25+J25))*-1</f>
        <v>30</v>
      </c>
      <c r="M25" s="39"/>
    </row>
    <row r="26" spans="1:13">
      <c r="A26" s="117" t="s">
        <v>161</v>
      </c>
      <c r="B26" s="33">
        <f>SUM(C26:F26)</f>
        <v>300</v>
      </c>
      <c r="C26" s="41">
        <f t="shared" ref="C26:J26" si="3">SUM(C9:C25)</f>
        <v>57</v>
      </c>
      <c r="D26" s="41">
        <f>SUM(D8:D25)</f>
        <v>74</v>
      </c>
      <c r="E26" s="41">
        <f>SUM(E8:E25)</f>
        <v>88</v>
      </c>
      <c r="F26" s="41">
        <f>SUM(F9:F25)</f>
        <v>81</v>
      </c>
      <c r="G26" s="41">
        <f>SUM(G9:G25)</f>
        <v>23</v>
      </c>
      <c r="H26" s="41">
        <f>SUM(H9:H25)</f>
        <v>27</v>
      </c>
      <c r="I26" s="41">
        <f>SUM(I9:I25)</f>
        <v>71</v>
      </c>
      <c r="J26" s="41">
        <f>SUM(J9:J25)</f>
        <v>102.5</v>
      </c>
      <c r="K26" s="48">
        <f>SUM(G26:J26)</f>
        <v>223.5</v>
      </c>
      <c r="L26" s="48">
        <f>+((C26+D26+E26+F26)-(G26+H26+I26+J26))*-1</f>
        <v>-76.5</v>
      </c>
      <c r="M26" s="41">
        <f>SUM(M9:M24)</f>
        <v>0</v>
      </c>
    </row>
    <row r="27" spans="1:15">
      <c r="A27" s="42" t="s">
        <v>40</v>
      </c>
      <c r="B27" s="43"/>
      <c r="C27" s="44" t="s">
        <v>14</v>
      </c>
      <c r="D27" s="45"/>
      <c r="E27" s="45"/>
      <c r="F27" s="46"/>
      <c r="G27" s="44"/>
      <c r="H27" s="45"/>
      <c r="I27" s="45"/>
      <c r="J27" s="46"/>
      <c r="K27" s="83"/>
      <c r="L27" s="84"/>
      <c r="M27" s="84"/>
      <c r="N27" s="111"/>
      <c r="O27" s="90"/>
    </row>
    <row r="28" ht="25.5" spans="1:15">
      <c r="A28" s="47" t="s">
        <v>16</v>
      </c>
      <c r="B28" s="47" t="s">
        <v>17</v>
      </c>
      <c r="C28" s="47" t="s">
        <v>152</v>
      </c>
      <c r="D28" s="47" t="s">
        <v>154</v>
      </c>
      <c r="E28" s="47" t="s">
        <v>123</v>
      </c>
      <c r="F28" s="47" t="s">
        <v>131</v>
      </c>
      <c r="G28" s="47" t="s">
        <v>152</v>
      </c>
      <c r="H28" s="47" t="s">
        <v>278</v>
      </c>
      <c r="I28" s="47" t="s">
        <v>123</v>
      </c>
      <c r="J28" s="47" t="s">
        <v>131</v>
      </c>
      <c r="K28" s="47" t="s">
        <v>22</v>
      </c>
      <c r="L28" s="47" t="s">
        <v>41</v>
      </c>
      <c r="M28" s="47" t="s">
        <v>42</v>
      </c>
      <c r="N28" s="89"/>
      <c r="O28" s="90"/>
    </row>
    <row r="29" spans="1:15">
      <c r="A29" s="29" t="s">
        <v>265</v>
      </c>
      <c r="B29" s="48">
        <f>SUM(C29:F29)</f>
        <v>16</v>
      </c>
      <c r="C29" s="35">
        <v>3.5</v>
      </c>
      <c r="D29" s="34">
        <v>4.5</v>
      </c>
      <c r="E29" s="34">
        <v>4</v>
      </c>
      <c r="F29" s="34">
        <v>4</v>
      </c>
      <c r="G29" s="49">
        <f>+(25526+26600+18100+52220+44800+19200+86100)/100000</f>
        <v>2.72546</v>
      </c>
      <c r="H29" s="50">
        <f>+(53200+35620+16800+18300+24500+115950)/100000</f>
        <v>2.6437</v>
      </c>
      <c r="I29" s="50">
        <f>+(38100+77550+53100+53750+22690+37250)/100000</f>
        <v>2.8244</v>
      </c>
      <c r="J29" s="76">
        <f>+(55700+67200+19940+12815+43700+26900)/100000</f>
        <v>2.26255</v>
      </c>
      <c r="K29" s="76">
        <f>SUM(G29:J29)</f>
        <v>10.45611</v>
      </c>
      <c r="L29" s="50">
        <f>+((C29+D29+E29+F29)-(G29+H29+I29+J29))*-1</f>
        <v>-5.54389</v>
      </c>
      <c r="M29" s="91">
        <f>+K29/B29</f>
        <v>0.653506875</v>
      </c>
      <c r="N29" s="89"/>
      <c r="O29" s="90"/>
    </row>
    <row r="30" spans="1:15">
      <c r="A30" s="29" t="s">
        <v>222</v>
      </c>
      <c r="B30" s="48">
        <f t="shared" ref="B30:B36" si="4">SUM(C30:F30)</f>
        <v>10.5</v>
      </c>
      <c r="C30" s="35">
        <v>2.5</v>
      </c>
      <c r="D30" s="34">
        <v>3</v>
      </c>
      <c r="E30" s="34">
        <v>3</v>
      </c>
      <c r="F30" s="34">
        <v>2</v>
      </c>
      <c r="G30" s="49">
        <f>+(19950+12000+19750+30850+26200+15000+16300+4400)/100000</f>
        <v>1.4445</v>
      </c>
      <c r="H30" s="50">
        <f>+(137500+25900+10700+10800+30000+2450+42260)/100000</f>
        <v>2.5961</v>
      </c>
      <c r="I30" s="50">
        <f>+(12300+34300+9000+41700+22200+39000)/100000</f>
        <v>1.585</v>
      </c>
      <c r="J30" s="50">
        <f>+(24200+10850+4500+3500+20550+68550)/100000</f>
        <v>1.3215</v>
      </c>
      <c r="K30" s="76">
        <f t="shared" ref="K30:K33" si="5">SUM(G30:J30)</f>
        <v>6.9471</v>
      </c>
      <c r="L30" s="50">
        <f t="shared" ref="L30:L44" si="6">+((C30+D30+E30+F30)-(G30+H30+I30+J30))*-1</f>
        <v>-3.5529</v>
      </c>
      <c r="M30" s="91">
        <f t="shared" ref="M30:M34" si="7">+K30/B30</f>
        <v>0.661628571428571</v>
      </c>
      <c r="N30" s="89"/>
      <c r="O30" s="90"/>
    </row>
    <row r="31" spans="1:15">
      <c r="A31" s="29" t="s">
        <v>266</v>
      </c>
      <c r="B31" s="48">
        <f>SUM(C31:F31)</f>
        <v>12.5</v>
      </c>
      <c r="C31" s="35">
        <v>2.5</v>
      </c>
      <c r="D31" s="34">
        <v>3.5</v>
      </c>
      <c r="E31" s="34">
        <v>3</v>
      </c>
      <c r="F31" s="34">
        <v>3.5</v>
      </c>
      <c r="G31" s="49">
        <f>+(25400+20700+12200+46800+10000+17600+9000+16700+24200)/100000</f>
        <v>1.826</v>
      </c>
      <c r="H31" s="50">
        <f>+(24000+152553+12000+20400+24650+13800+22200)/100000</f>
        <v>2.69603</v>
      </c>
      <c r="I31" s="50">
        <f>+(22800+19800+21000+25200+16050+17600+18800)/100000</f>
        <v>1.4125</v>
      </c>
      <c r="J31" s="50">
        <f>+(37800+40400+28000+13300+7000+22700+164800)/100000</f>
        <v>3.14</v>
      </c>
      <c r="K31" s="76">
        <f>SUM(G31:J31)</f>
        <v>9.07453</v>
      </c>
      <c r="L31" s="50">
        <f>+((C31+D31+E31+F31)-(G31+H31+I31+J31))*-1</f>
        <v>-3.42547</v>
      </c>
      <c r="M31" s="91">
        <f>+K31/B31</f>
        <v>0.7259624</v>
      </c>
      <c r="N31" s="92"/>
      <c r="O31" s="93"/>
    </row>
    <row r="32" spans="1:15">
      <c r="A32" s="29" t="s">
        <v>293</v>
      </c>
      <c r="B32" s="48">
        <f>SUM(C32:F32)</f>
        <v>7.5</v>
      </c>
      <c r="C32" s="35">
        <v>2</v>
      </c>
      <c r="D32" s="34">
        <v>2</v>
      </c>
      <c r="E32" s="34">
        <v>1.5</v>
      </c>
      <c r="F32" s="34">
        <v>2</v>
      </c>
      <c r="G32" s="49">
        <f>+(9400+16000+37000+22000+49100+37600+24100)/100000</f>
        <v>1.952</v>
      </c>
      <c r="H32" s="50">
        <f>+(77500+13900+23800+16020+26500+25600)/100000</f>
        <v>1.8332</v>
      </c>
      <c r="I32" s="50">
        <f>+(32700+24500+15900+66005+21700+23700)/100000</f>
        <v>1.84505</v>
      </c>
      <c r="J32" s="50">
        <f>+(55250+13490+31000+20950+53600+36070)/100000</f>
        <v>2.1036</v>
      </c>
      <c r="K32" s="76">
        <f>SUM(G32:J32)</f>
        <v>7.73385</v>
      </c>
      <c r="L32" s="50">
        <f>+((C32+D32+E32+F32)-(G32+H32+I32+J32))*-1</f>
        <v>0.23385</v>
      </c>
      <c r="M32" s="91">
        <f>+K32/B32</f>
        <v>1.03118</v>
      </c>
      <c r="N32" s="92"/>
      <c r="O32" s="93"/>
    </row>
    <row r="33" spans="1:15">
      <c r="A33" s="29" t="s">
        <v>261</v>
      </c>
      <c r="B33" s="48">
        <f>SUM(C33:F33)</f>
        <v>6</v>
      </c>
      <c r="C33" s="35">
        <v>1.5</v>
      </c>
      <c r="D33" s="34">
        <v>1.5</v>
      </c>
      <c r="E33" s="34">
        <v>1.5</v>
      </c>
      <c r="F33" s="34">
        <v>1.5</v>
      </c>
      <c r="G33" s="49">
        <f>+(1600+2100+2400+2100+19200+18500+40080)/100000</f>
        <v>0.8598</v>
      </c>
      <c r="H33" s="50">
        <f>+(23500+18600+16200+21000+20400+33400)/100000</f>
        <v>1.331</v>
      </c>
      <c r="I33" s="50">
        <f>+(29800+30500+24700+16300+16600+44300)/100000</f>
        <v>1.622</v>
      </c>
      <c r="J33" s="50">
        <f>+(17100+16900+16300+23300+22000+33500)/100000</f>
        <v>1.291</v>
      </c>
      <c r="K33" s="76">
        <f>SUM(G33:J33)</f>
        <v>5.1038</v>
      </c>
      <c r="L33" s="50">
        <f>+((C33+D33+E33+F33)-(G33+H33+I33+J33))*-1</f>
        <v>-0.8962</v>
      </c>
      <c r="M33" s="91">
        <f>+K33/B33</f>
        <v>0.850633333333333</v>
      </c>
      <c r="N33" s="92"/>
      <c r="O33" s="93"/>
    </row>
    <row r="34" spans="1:15">
      <c r="A34" s="29" t="s">
        <v>209</v>
      </c>
      <c r="B34" s="48">
        <f>SUM(C34:F34)</f>
        <v>11.5</v>
      </c>
      <c r="C34" s="34">
        <v>2.5</v>
      </c>
      <c r="D34" s="34">
        <v>3</v>
      </c>
      <c r="E34" s="34">
        <v>2.5</v>
      </c>
      <c r="F34" s="34">
        <v>3.5</v>
      </c>
      <c r="G34" s="49">
        <f>+(41200+26100+35600+21200+32830+20300+44800+23200)/100000</f>
        <v>2.4523</v>
      </c>
      <c r="H34" s="50">
        <f>+(61400+29100+5000+30600+27100+29600+50000)/100000</f>
        <v>2.328</v>
      </c>
      <c r="I34" s="50">
        <f>+(30800+5000+29500+8800+51100+21400+29500+55900)/100000</f>
        <v>2.32</v>
      </c>
      <c r="J34" s="50">
        <f>+(96100+34800+21600+7600+27150+21550+50000+15000+68040+6900)/100000</f>
        <v>3.4874</v>
      </c>
      <c r="K34" s="76">
        <f t="shared" ref="K34:K44" si="8">SUM(G34:J34)</f>
        <v>10.5877</v>
      </c>
      <c r="L34" s="50">
        <f>+((C34+D34+E34+F34)-(G34+H34+I34+J34))*-1</f>
        <v>-0.912299999999998</v>
      </c>
      <c r="M34" s="91">
        <f>+K34/B34</f>
        <v>0.920669565217392</v>
      </c>
      <c r="N34" s="92"/>
      <c r="O34" s="93"/>
    </row>
    <row r="35" spans="1:15">
      <c r="A35" s="51" t="s">
        <v>263</v>
      </c>
      <c r="B35" s="48">
        <f>SUM(C35:F35)</f>
        <v>10</v>
      </c>
      <c r="C35" s="35">
        <v>2</v>
      </c>
      <c r="D35" s="52">
        <v>2.5</v>
      </c>
      <c r="E35" s="52">
        <v>3</v>
      </c>
      <c r="F35" s="52">
        <v>2.5</v>
      </c>
      <c r="G35" s="49">
        <f>+(26700+41173+27800+28600+29200+16600+20800)/100000</f>
        <v>1.90873</v>
      </c>
      <c r="H35" s="50">
        <f>+(55100+23900+24040+43200+30810+24400)/100000</f>
        <v>2.0145</v>
      </c>
      <c r="I35" s="50">
        <f>+(22250+27200+26640+25600+37100+38300)/100000</f>
        <v>1.7709</v>
      </c>
      <c r="J35" s="50">
        <f>+(42680+44406+22410+34100+32600+33500)/100000</f>
        <v>2.09696</v>
      </c>
      <c r="K35" s="76">
        <f>SUM(G35:J35)</f>
        <v>7.79109</v>
      </c>
      <c r="L35" s="50">
        <f>+((C35+D35+E35+F35)-(G35+H35+I35+J35))*-1</f>
        <v>-2.20891</v>
      </c>
      <c r="M35" s="91">
        <f t="shared" ref="M35:M44" si="9">+K35/B35</f>
        <v>0.779109</v>
      </c>
      <c r="N35" s="94"/>
      <c r="O35" s="95"/>
    </row>
    <row r="36" spans="1:15">
      <c r="A36" s="51" t="s">
        <v>271</v>
      </c>
      <c r="B36" s="48">
        <f>SUM(C36:F36)</f>
        <v>7.5</v>
      </c>
      <c r="C36" s="35">
        <v>1.5</v>
      </c>
      <c r="D36" s="52">
        <v>2.5</v>
      </c>
      <c r="E36" s="52">
        <v>1.5</v>
      </c>
      <c r="F36" s="52">
        <v>2</v>
      </c>
      <c r="G36" s="49">
        <f>+(39900+3700+9500+12500+6000+13400+12000)/100000</f>
        <v>0.97</v>
      </c>
      <c r="H36" s="50">
        <f>+(6500+8700+14000+4800+6100+14500)/100000</f>
        <v>0.546</v>
      </c>
      <c r="I36" s="50">
        <f>+(4700+8800+8800+8900+30400+6200+6600)/100000</f>
        <v>0.744</v>
      </c>
      <c r="J36" s="50">
        <f>+(18200+28300+5100+8900+50000+14600)/100000</f>
        <v>1.251</v>
      </c>
      <c r="K36" s="76">
        <f>SUM(G36:J36)</f>
        <v>3.511</v>
      </c>
      <c r="L36" s="50">
        <f>+((C36+D36+E36+F36)-(G36+H36+I36+J36))*-1</f>
        <v>-3.989</v>
      </c>
      <c r="M36" s="91">
        <f>+K36/B36</f>
        <v>0.468133333333333</v>
      </c>
      <c r="N36" s="92"/>
      <c r="O36" s="93"/>
    </row>
    <row r="37" spans="1:15">
      <c r="A37" s="51" t="s">
        <v>262</v>
      </c>
      <c r="B37" s="48">
        <f t="shared" ref="B37:B44" si="10">SUM(C37:F37)</f>
        <v>10</v>
      </c>
      <c r="C37" s="35">
        <v>2</v>
      </c>
      <c r="D37" s="52">
        <v>3.5</v>
      </c>
      <c r="E37" s="52">
        <v>2</v>
      </c>
      <c r="F37" s="52">
        <v>2.5</v>
      </c>
      <c r="G37" s="49">
        <f>+(26750+21300+46540+19200+27100+41600+15000)/100000</f>
        <v>1.9749</v>
      </c>
      <c r="H37" s="50">
        <f>+(75000+50932+26490+23890+22700+47500)/100000</f>
        <v>2.46512</v>
      </c>
      <c r="I37" s="50">
        <f>+(14400+23100+23100+26200+30670+50700+25950)/100000</f>
        <v>1.9412</v>
      </c>
      <c r="J37" s="50">
        <f>+(29950+30900+13400+40540+25250+69090)/100000</f>
        <v>2.0913</v>
      </c>
      <c r="K37" s="76">
        <f>SUM(G37:J37)</f>
        <v>8.47252</v>
      </c>
      <c r="L37" s="50">
        <f>+((C37+D37+E37+F37)-(G37+H37+I37+J37))*-1</f>
        <v>-1.52748</v>
      </c>
      <c r="M37" s="91">
        <f>+K37/B37</f>
        <v>0.847252</v>
      </c>
      <c r="N37" s="92"/>
      <c r="O37" s="93"/>
    </row>
    <row r="38" spans="1:15">
      <c r="A38" s="51" t="s">
        <v>172</v>
      </c>
      <c r="B38" s="48">
        <f>SUM(C38:F38)</f>
        <v>11.5</v>
      </c>
      <c r="C38" s="35">
        <v>3</v>
      </c>
      <c r="D38" s="52">
        <v>3.5</v>
      </c>
      <c r="E38" s="52">
        <v>3</v>
      </c>
      <c r="F38" s="52">
        <v>2</v>
      </c>
      <c r="G38" s="49">
        <f>+(44800+17400+17900+19200+95550+14200+60400)/100000</f>
        <v>2.6945</v>
      </c>
      <c r="H38" s="50">
        <f>+(106600+15700+30100+12700+13000+97700)/100000</f>
        <v>2.758</v>
      </c>
      <c r="I38" s="50">
        <f>+(58100+158500+29400+48100)/100000</f>
        <v>2.941</v>
      </c>
      <c r="J38" s="50">
        <f>+(29000+26900+49600+14100+14900+47260)/100000</f>
        <v>1.8176</v>
      </c>
      <c r="K38" s="76">
        <f>SUM(G38:J38)</f>
        <v>10.2111</v>
      </c>
      <c r="L38" s="50">
        <f>+((C38+D38+E38+F38)-(G38+H38+I38+J38))*-1</f>
        <v>-1.2889</v>
      </c>
      <c r="M38" s="91">
        <f>+K38/B38</f>
        <v>0.887921739130435</v>
      </c>
      <c r="N38" s="92"/>
      <c r="O38" s="93"/>
    </row>
    <row r="39" spans="1:15">
      <c r="A39" s="51" t="s">
        <v>141</v>
      </c>
      <c r="B39" s="48">
        <f>SUM(C39:F39)</f>
        <v>7.5</v>
      </c>
      <c r="C39" s="35">
        <v>1.5</v>
      </c>
      <c r="D39" s="52">
        <v>2</v>
      </c>
      <c r="E39" s="52">
        <v>2</v>
      </c>
      <c r="F39" s="52">
        <v>2</v>
      </c>
      <c r="G39" s="49">
        <f>+(54900+38900+49400+38700+43600+42200+30300)/100000</f>
        <v>2.98</v>
      </c>
      <c r="H39" s="50">
        <f>+(38300+17100+31700+24900+58350+54300)/100000</f>
        <v>2.2465</v>
      </c>
      <c r="I39" s="50">
        <f>+(20100+21250+22650+34950+22100+149950)/100000</f>
        <v>2.71</v>
      </c>
      <c r="J39" s="50">
        <f>+(31300+23100+44700+30900+33120+79475)/100000</f>
        <v>2.42595</v>
      </c>
      <c r="K39" s="76">
        <f>SUM(G39:J39)</f>
        <v>10.36245</v>
      </c>
      <c r="L39" s="50">
        <f>+((C39+D39+E39+F39)-(G39+H39+I39+J39))*-1</f>
        <v>2.86245</v>
      </c>
      <c r="M39" s="91">
        <f>+K39/B39</f>
        <v>1.38166</v>
      </c>
      <c r="N39" s="92"/>
      <c r="O39" s="93"/>
    </row>
    <row r="40" spans="1:15">
      <c r="A40" s="51" t="s">
        <v>267</v>
      </c>
      <c r="B40" s="48">
        <f>SUM(C40:F40)</f>
        <v>10.5</v>
      </c>
      <c r="C40" s="35">
        <v>2</v>
      </c>
      <c r="D40" s="52">
        <v>3</v>
      </c>
      <c r="E40" s="52">
        <v>2.5</v>
      </c>
      <c r="F40" s="52">
        <v>3</v>
      </c>
      <c r="G40" s="49">
        <f>+(27300+38000+25600+23800+36600+29000+15700)/100000</f>
        <v>1.96</v>
      </c>
      <c r="H40" s="50">
        <f>+(158810+52410+21250+54300+67650+40500)/100000</f>
        <v>3.9492</v>
      </c>
      <c r="I40" s="50">
        <f>+(42300+33200+28500+42100+30000+36525)/100000</f>
        <v>2.12625</v>
      </c>
      <c r="J40" s="50">
        <f>+(84900+77040+26400+48410+28400+33150)/100000</f>
        <v>2.983</v>
      </c>
      <c r="K40" s="76">
        <f>SUM(G40:J40)</f>
        <v>11.01845</v>
      </c>
      <c r="L40" s="50">
        <f>+((C40+D40+E40+F40)-(G40+H40+I40+J40))*-1</f>
        <v>0.518450000000001</v>
      </c>
      <c r="M40" s="91">
        <f>+K40/B40</f>
        <v>1.04937619047619</v>
      </c>
      <c r="N40" s="92"/>
      <c r="O40" s="93"/>
    </row>
    <row r="41" spans="1:15">
      <c r="A41" s="53" t="s">
        <v>29</v>
      </c>
      <c r="B41" s="48">
        <f>SUM(C41:F41)</f>
        <v>3</v>
      </c>
      <c r="C41" s="34">
        <v>0.75</v>
      </c>
      <c r="D41" s="34">
        <v>0.75</v>
      </c>
      <c r="E41" s="34">
        <v>0.75</v>
      </c>
      <c r="F41" s="34">
        <v>0.75</v>
      </c>
      <c r="G41" s="49">
        <f>+(5000+4000)/100000</f>
        <v>0.09</v>
      </c>
      <c r="H41" s="50">
        <f>+(5000+10000)/100000</f>
        <v>0.15</v>
      </c>
      <c r="I41" s="50">
        <f>+(74800)/100000</f>
        <v>0.748</v>
      </c>
      <c r="J41" s="50">
        <f>+(8800+8000+13200)/100000</f>
        <v>0.3</v>
      </c>
      <c r="K41" s="76">
        <f>SUM(G41:J41)</f>
        <v>1.288</v>
      </c>
      <c r="L41" s="50">
        <f>+((C41+D41+E41+F41)-(G41+H41+I41+J41))*-1</f>
        <v>-1.712</v>
      </c>
      <c r="M41" s="91">
        <f>+K41/B41</f>
        <v>0.429333333333333</v>
      </c>
      <c r="N41" s="92"/>
      <c r="O41" s="93"/>
    </row>
    <row r="42" spans="1:15">
      <c r="A42" s="53" t="s">
        <v>35</v>
      </c>
      <c r="B42" s="48">
        <f>SUM(C42:F42)</f>
        <v>3.5</v>
      </c>
      <c r="C42" s="35">
        <v>0.5</v>
      </c>
      <c r="D42" s="52">
        <v>1</v>
      </c>
      <c r="E42" s="52">
        <v>1</v>
      </c>
      <c r="F42" s="52">
        <v>1</v>
      </c>
      <c r="G42" s="49"/>
      <c r="H42" s="50"/>
      <c r="I42" s="50">
        <f>+(5000)/100000</f>
        <v>0.05</v>
      </c>
      <c r="J42" s="50">
        <f>+(162500+13320+140000)/100000</f>
        <v>3.1582</v>
      </c>
      <c r="K42" s="76">
        <f>SUM(G42:J42)</f>
        <v>3.2082</v>
      </c>
      <c r="L42" s="50">
        <f>+((C42+D42+E42+F42)-(G42+H42+I42+J42))*-1</f>
        <v>-0.2918</v>
      </c>
      <c r="M42" s="91">
        <f>+K42/B42</f>
        <v>0.916628571428571</v>
      </c>
      <c r="N42" s="92"/>
      <c r="O42" s="93"/>
    </row>
    <row r="43" spans="1:15">
      <c r="A43" s="53" t="s">
        <v>38</v>
      </c>
      <c r="B43" s="48">
        <f>SUM(C43:F43)</f>
        <v>22.5</v>
      </c>
      <c r="C43" s="35">
        <v>5</v>
      </c>
      <c r="D43" s="52">
        <v>5</v>
      </c>
      <c r="E43" s="52">
        <v>6</v>
      </c>
      <c r="F43" s="52">
        <v>6.5</v>
      </c>
      <c r="G43" s="49">
        <f>+(2400+79800+153690+7400+21075+4400+20380+4400+43200+24300+32000+38715+5442+12400)/100000</f>
        <v>4.49602</v>
      </c>
      <c r="H43" s="50">
        <f>+(79847+29400+16890+4100+7100+78215+1600+35230+1800+11400+9200+4500+9000)/100000</f>
        <v>2.88282</v>
      </c>
      <c r="I43" s="50">
        <f>+(246845+20400+5350+6400+222700+50000+125700+5600+14550+14800+36800+21400+5400)/100000</f>
        <v>7.75945</v>
      </c>
      <c r="J43" s="50">
        <f>+(41315+37948+11100+33800+23200+125000+21520+15000+5120+140902+38000+400+27000+180+35965+27700)/100000</f>
        <v>5.8415</v>
      </c>
      <c r="K43" s="76">
        <f>SUM(G43:J43)</f>
        <v>20.97979</v>
      </c>
      <c r="L43" s="50">
        <f>+((C43+D43+E43+F43)-(G43+H43+I43+J43))*-1</f>
        <v>-1.52021</v>
      </c>
      <c r="M43" s="91">
        <f>+K43/B43</f>
        <v>0.932435111111111</v>
      </c>
      <c r="N43" s="92"/>
      <c r="O43" s="93"/>
    </row>
    <row r="44" spans="1:15">
      <c r="A44" s="54" t="s">
        <v>44</v>
      </c>
      <c r="B44" s="48">
        <f>SUM(C44:F44)</f>
        <v>150</v>
      </c>
      <c r="C44" s="35">
        <f t="shared" ref="C44:J44" si="11">SUM(C29:C43)</f>
        <v>32.75</v>
      </c>
      <c r="D44" s="48">
        <f>SUM(D29:D43)</f>
        <v>41.25</v>
      </c>
      <c r="E44" s="48">
        <f>SUM(E29:E43)</f>
        <v>37.25</v>
      </c>
      <c r="F44" s="48">
        <f>SUM(F29:F43)</f>
        <v>38.75</v>
      </c>
      <c r="G44" s="49">
        <f>SUM(G29:G43)</f>
        <v>28.33421</v>
      </c>
      <c r="H44" s="50">
        <f>SUM(H29:H43)</f>
        <v>30.44017</v>
      </c>
      <c r="I44" s="50">
        <f>SUM(I29:I43)</f>
        <v>32.39975</v>
      </c>
      <c r="J44" s="50">
        <f>SUM(J29:J43)</f>
        <v>35.57156</v>
      </c>
      <c r="K44" s="76">
        <f>SUM(G44:J44)</f>
        <v>126.74569</v>
      </c>
      <c r="L44" s="50">
        <f>+((C44+D44+E44+F44)-(G44+H44+I44+J44))*-1</f>
        <v>-23.25431</v>
      </c>
      <c r="M44" s="91">
        <f>+K44/B44</f>
        <v>0.844971266666667</v>
      </c>
      <c r="N44" s="92"/>
      <c r="O44" s="93"/>
    </row>
    <row r="45" spans="1:15">
      <c r="A45" s="55"/>
      <c r="B45" s="56"/>
      <c r="C45" s="57"/>
      <c r="N45" s="94"/>
      <c r="O45" s="95"/>
    </row>
    <row r="46" spans="14:15">
      <c r="N46" s="92"/>
      <c r="O46" s="93"/>
    </row>
    <row r="47" spans="14:15">
      <c r="N47" s="92"/>
      <c r="O47" s="93"/>
    </row>
    <row r="48" spans="2:15">
      <c r="B48" s="1"/>
      <c r="N48" s="92"/>
      <c r="O48" s="93"/>
    </row>
    <row r="49" spans="2:15">
      <c r="B49" s="1"/>
      <c r="N49" s="92"/>
      <c r="O49" s="93"/>
    </row>
    <row r="50" spans="2:15">
      <c r="B50" s="1"/>
      <c r="N50" s="92"/>
      <c r="O50" s="93"/>
    </row>
    <row r="51" spans="2:15">
      <c r="B51" s="1"/>
      <c r="N51" s="92"/>
      <c r="O51" s="93"/>
    </row>
    <row r="52" spans="2:15">
      <c r="B52" s="1"/>
      <c r="N52" s="92"/>
      <c r="O52" s="93"/>
    </row>
    <row r="53" spans="2:15">
      <c r="B53" s="1"/>
      <c r="N53" s="92"/>
      <c r="O53" s="93"/>
    </row>
    <row r="54" spans="2:15">
      <c r="B54" s="1"/>
      <c r="N54" s="92"/>
      <c r="O54" s="93"/>
    </row>
    <row r="55" spans="2:15">
      <c r="B55" s="1"/>
      <c r="N55" s="94"/>
      <c r="O55" s="95"/>
    </row>
    <row r="56" spans="2:15">
      <c r="B56" s="1"/>
      <c r="N56" s="92"/>
      <c r="O56" s="93"/>
    </row>
    <row r="57" spans="2:15">
      <c r="B57" s="1"/>
      <c r="N57" s="92"/>
      <c r="O57" s="93"/>
    </row>
    <row r="58" spans="2:15">
      <c r="B58" s="1"/>
      <c r="N58" s="92"/>
      <c r="O58" s="93"/>
    </row>
    <row r="59" spans="2:15">
      <c r="B59" s="1"/>
      <c r="N59" s="92"/>
      <c r="O59" s="93"/>
    </row>
    <row r="60" spans="2:15">
      <c r="B60" s="1"/>
      <c r="N60" s="92"/>
      <c r="O60" s="93"/>
    </row>
    <row r="61" spans="2:15">
      <c r="B61" s="1"/>
      <c r="N61" s="92"/>
      <c r="O61" s="93"/>
    </row>
    <row r="62" spans="2:15">
      <c r="B62" s="1"/>
      <c r="N62" s="92"/>
      <c r="O62" s="93"/>
    </row>
    <row r="63" spans="2:15">
      <c r="B63" s="1"/>
      <c r="N63" s="94"/>
      <c r="O63" s="95"/>
    </row>
    <row r="64" spans="2:15">
      <c r="B64" s="1"/>
      <c r="N64" s="92"/>
      <c r="O64" s="93"/>
    </row>
    <row r="65" spans="2:15">
      <c r="B65" s="1"/>
      <c r="N65" s="92"/>
      <c r="O65" s="93"/>
    </row>
    <row r="66" spans="2:15">
      <c r="B66" s="1"/>
      <c r="N66" s="92"/>
      <c r="O66" s="93"/>
    </row>
    <row r="67" spans="2:15">
      <c r="B67" s="1"/>
      <c r="N67" s="92"/>
      <c r="O67" s="93"/>
    </row>
    <row r="68" spans="2:15">
      <c r="B68" s="1"/>
      <c r="N68" s="92"/>
      <c r="O68" s="93"/>
    </row>
    <row r="69" spans="2:15">
      <c r="B69" s="1"/>
      <c r="N69" s="92"/>
      <c r="O69" s="93"/>
    </row>
    <row r="70" spans="2:15">
      <c r="B70" s="1"/>
      <c r="N70" s="92"/>
      <c r="O70" s="93"/>
    </row>
    <row r="71" spans="2:15">
      <c r="B71" s="1"/>
      <c r="N71" s="92"/>
      <c r="O71" s="96"/>
    </row>
  </sheetData>
  <mergeCells count="5">
    <mergeCell ref="D5:F5"/>
    <mergeCell ref="C6:F6"/>
    <mergeCell ref="G6:J6"/>
    <mergeCell ref="C27:F27"/>
    <mergeCell ref="G27:J27"/>
  </mergeCells>
  <pageMargins left="0.699305555555556" right="0.699305555555556" top="0.75" bottom="0.75" header="0.3" footer="0.3"/>
  <pageSetup paperSize="1" orientation="portrait" horizontalDpi="150" verticalDpi="150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72"/>
  <sheetViews>
    <sheetView workbookViewId="0">
      <selection activeCell="I29" sqref="I29"/>
    </sheetView>
  </sheetViews>
  <sheetFormatPr defaultColWidth="9" defaultRowHeight="15"/>
  <cols>
    <col min="1" max="1" width="17.4285714285714" style="1" customWidth="1"/>
    <col min="2" max="2" width="9" style="2" customWidth="1"/>
    <col min="3" max="3" width="8.42857142857143" style="1" customWidth="1"/>
    <col min="4" max="4" width="8.57142857142857" style="1" customWidth="1"/>
    <col min="5" max="5" width="8.28571428571429" style="1" customWidth="1"/>
    <col min="6" max="6" width="8.71428571428571" style="1" customWidth="1"/>
    <col min="7" max="7" width="8.28571428571429" style="1" customWidth="1"/>
    <col min="8" max="8" width="8.85714285714286" style="1" customWidth="1"/>
    <col min="9" max="9" width="10.1428571428571" style="1" customWidth="1"/>
    <col min="10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ht="13.5" customHeight="1" spans="1:13">
      <c r="A1" s="3" t="s">
        <v>294</v>
      </c>
      <c r="B1" s="4" t="s">
        <v>295</v>
      </c>
      <c r="C1" s="5"/>
      <c r="D1" s="5"/>
      <c r="E1" s="5"/>
      <c r="F1" s="5"/>
      <c r="G1" s="5"/>
      <c r="H1" s="5"/>
      <c r="I1" s="5"/>
      <c r="J1" s="5"/>
      <c r="K1" s="5"/>
      <c r="L1" s="5"/>
      <c r="M1" s="58"/>
    </row>
    <row r="2" spans="1:13">
      <c r="A2" s="6" t="s">
        <v>2</v>
      </c>
      <c r="B2" s="7">
        <f>+K26</f>
        <v>117</v>
      </c>
      <c r="C2" s="8"/>
      <c r="D2" s="8"/>
      <c r="E2" s="8"/>
      <c r="F2" s="8"/>
      <c r="G2" s="9"/>
      <c r="H2" s="10"/>
      <c r="I2" s="59"/>
      <c r="J2" s="10"/>
      <c r="K2" s="10"/>
      <c r="L2" s="10"/>
      <c r="M2" s="104"/>
    </row>
    <row r="3" ht="12" customHeight="1" spans="1:13">
      <c r="A3" s="6" t="s">
        <v>3</v>
      </c>
      <c r="B3" s="7">
        <f>+M26</f>
        <v>0</v>
      </c>
      <c r="C3" s="8"/>
      <c r="D3" s="8"/>
      <c r="E3" s="8"/>
      <c r="F3" s="8"/>
      <c r="G3" s="9"/>
      <c r="H3" s="10"/>
      <c r="I3" s="10"/>
      <c r="J3" s="10"/>
      <c r="K3" s="10"/>
      <c r="L3" s="61"/>
      <c r="M3" s="105"/>
    </row>
    <row r="4" spans="1:13">
      <c r="A4" s="6" t="s">
        <v>296</v>
      </c>
      <c r="B4" s="11"/>
      <c r="C4" s="12"/>
      <c r="D4" s="13" t="s">
        <v>297</v>
      </c>
      <c r="E4" s="12"/>
      <c r="F4" s="12"/>
      <c r="G4" s="14" t="s">
        <v>78</v>
      </c>
      <c r="H4" s="15"/>
      <c r="I4" s="62" t="s">
        <v>7</v>
      </c>
      <c r="J4" s="13">
        <f>+K45</f>
        <v>131.57271</v>
      </c>
      <c r="K4" s="12" t="s">
        <v>8</v>
      </c>
      <c r="L4" s="12" t="s">
        <v>275</v>
      </c>
      <c r="M4" s="106"/>
    </row>
    <row r="5" spans="1:13">
      <c r="A5" s="16" t="s">
        <v>10</v>
      </c>
      <c r="B5" s="17" t="s">
        <v>213</v>
      </c>
      <c r="C5" s="18" t="s">
        <v>242</v>
      </c>
      <c r="D5" s="19">
        <v>9018250</v>
      </c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2.5" customHeight="1" spans="1:13">
      <c r="A7" s="25" t="s">
        <v>16</v>
      </c>
      <c r="B7" s="25" t="s">
        <v>17</v>
      </c>
      <c r="C7" s="25" t="s">
        <v>152</v>
      </c>
      <c r="D7" s="25" t="s">
        <v>153</v>
      </c>
      <c r="E7" s="25" t="s">
        <v>123</v>
      </c>
      <c r="F7" s="25" t="s">
        <v>130</v>
      </c>
      <c r="G7" s="25" t="s">
        <v>152</v>
      </c>
      <c r="H7" s="25" t="s">
        <v>154</v>
      </c>
      <c r="I7" s="25" t="s">
        <v>155</v>
      </c>
      <c r="J7" s="25" t="s">
        <v>131</v>
      </c>
      <c r="K7" s="25" t="s">
        <v>22</v>
      </c>
      <c r="L7" s="25" t="s">
        <v>23</v>
      </c>
      <c r="M7" s="25" t="s">
        <v>24</v>
      </c>
    </row>
    <row r="8" ht="16.5" customHeight="1" spans="1:13">
      <c r="A8" s="112" t="s">
        <v>298</v>
      </c>
      <c r="B8" s="33">
        <f>SUM(C8:F8)</f>
        <v>20</v>
      </c>
      <c r="C8" s="33">
        <v>0</v>
      </c>
      <c r="D8" s="33">
        <v>5</v>
      </c>
      <c r="E8" s="33">
        <v>5</v>
      </c>
      <c r="F8" s="33">
        <v>10</v>
      </c>
      <c r="G8" s="33"/>
      <c r="H8" s="33"/>
      <c r="I8" s="33"/>
      <c r="J8" s="33"/>
      <c r="K8" s="48">
        <f>SUM(G8:J8)</f>
        <v>0</v>
      </c>
      <c r="L8" s="48">
        <f>+((C8+D8+E8+F8)-(G8+H8+I8+J8))*-1</f>
        <v>-20</v>
      </c>
      <c r="M8" s="33"/>
    </row>
    <row r="9" spans="1:13">
      <c r="A9" s="29" t="s">
        <v>26</v>
      </c>
      <c r="B9" s="33">
        <f t="shared" ref="B9:B26" si="0">SUM(C9:F9)</f>
        <v>30</v>
      </c>
      <c r="C9" s="34">
        <v>5</v>
      </c>
      <c r="D9" s="34">
        <v>9</v>
      </c>
      <c r="E9" s="34">
        <v>7</v>
      </c>
      <c r="F9" s="33">
        <v>9</v>
      </c>
      <c r="G9" s="48">
        <v>1</v>
      </c>
      <c r="H9" s="48">
        <v>10.5</v>
      </c>
      <c r="I9" s="48">
        <v>4.5</v>
      </c>
      <c r="J9" s="48">
        <v>7</v>
      </c>
      <c r="K9" s="48">
        <f t="shared" ref="K9:K26" si="1">SUM(G9:J9)</f>
        <v>23</v>
      </c>
      <c r="L9" s="48">
        <f t="shared" ref="L9:L26" si="2">+((C9+D9+E9+F9)-(G9+H9+I9+J9))*-1</f>
        <v>-7</v>
      </c>
      <c r="M9" s="48"/>
    </row>
    <row r="10" spans="1:13">
      <c r="A10" s="29" t="s">
        <v>286</v>
      </c>
      <c r="B10" s="33">
        <f>SUM(C10:F10)</f>
        <v>30</v>
      </c>
      <c r="C10" s="34">
        <v>7</v>
      </c>
      <c r="D10" s="34">
        <v>7</v>
      </c>
      <c r="E10" s="34">
        <v>7</v>
      </c>
      <c r="F10" s="33">
        <v>9</v>
      </c>
      <c r="G10" s="48">
        <v>8.5</v>
      </c>
      <c r="H10" s="48">
        <v>5.5</v>
      </c>
      <c r="I10" s="48">
        <v>5.5</v>
      </c>
      <c r="J10" s="48">
        <v>2</v>
      </c>
      <c r="K10" s="48">
        <f>SUM(G10:J10)</f>
        <v>21.5</v>
      </c>
      <c r="L10" s="48">
        <f>+((C10+D10+E10+F10)-(G10+H10+I10+J10))*-1</f>
        <v>-8.5</v>
      </c>
      <c r="M10" s="48"/>
    </row>
    <row r="11" spans="1:17">
      <c r="A11" s="29" t="s">
        <v>299</v>
      </c>
      <c r="B11" s="33">
        <f>SUM(C11:F11)</f>
        <v>31</v>
      </c>
      <c r="C11" s="34">
        <v>7</v>
      </c>
      <c r="D11" s="34">
        <v>7</v>
      </c>
      <c r="E11" s="34">
        <v>8</v>
      </c>
      <c r="F11" s="33">
        <v>9</v>
      </c>
      <c r="G11" s="48">
        <v>0.5</v>
      </c>
      <c r="H11" s="48">
        <v>1</v>
      </c>
      <c r="I11" s="48">
        <v>1</v>
      </c>
      <c r="J11" s="48">
        <v>11</v>
      </c>
      <c r="K11" s="48">
        <f>SUM(G11:J11)</f>
        <v>13.5</v>
      </c>
      <c r="L11" s="48">
        <f>+((C11+D11+E11+F11)-(G11+H11+I11+J11))*-1</f>
        <v>-17.5</v>
      </c>
      <c r="M11" s="48"/>
      <c r="Q11"/>
    </row>
    <row r="12" spans="1:13">
      <c r="A12" s="29" t="s">
        <v>300</v>
      </c>
      <c r="B12" s="33">
        <f>SUM(C12:F12)</f>
        <v>25</v>
      </c>
      <c r="C12" s="34">
        <v>5</v>
      </c>
      <c r="D12" s="34">
        <v>6</v>
      </c>
      <c r="E12" s="34">
        <v>7</v>
      </c>
      <c r="F12" s="33">
        <v>7</v>
      </c>
      <c r="G12" s="48">
        <v>1</v>
      </c>
      <c r="H12" s="48"/>
      <c r="I12" s="48">
        <v>5</v>
      </c>
      <c r="J12" s="48">
        <v>9</v>
      </c>
      <c r="K12" s="48">
        <f>SUM(G12:J12)</f>
        <v>15</v>
      </c>
      <c r="L12" s="48">
        <f>+((C12+D12+E12+F12)-(G12+H12+I12+J12))*-1</f>
        <v>-10</v>
      </c>
      <c r="M12" s="48"/>
    </row>
    <row r="13" ht="15.75" customHeight="1" spans="1:13">
      <c r="A13" s="29" t="s">
        <v>301</v>
      </c>
      <c r="B13" s="33">
        <f>SUM(C13:F13)</f>
        <v>15</v>
      </c>
      <c r="C13" s="34">
        <v>3</v>
      </c>
      <c r="D13" s="34">
        <v>4</v>
      </c>
      <c r="E13" s="34">
        <v>3</v>
      </c>
      <c r="F13" s="33">
        <v>5</v>
      </c>
      <c r="G13" s="48">
        <v>5.5</v>
      </c>
      <c r="H13" s="48">
        <v>1</v>
      </c>
      <c r="I13" s="48"/>
      <c r="J13" s="48"/>
      <c r="K13" s="48">
        <f>SUM(G13:J13)</f>
        <v>6.5</v>
      </c>
      <c r="L13" s="48">
        <f>+((C13+D13+E13+F13)-(G13+H13+I13+J13))*-1</f>
        <v>-8.5</v>
      </c>
      <c r="M13" s="48"/>
    </row>
    <row r="14" spans="1:13">
      <c r="A14" s="29" t="s">
        <v>302</v>
      </c>
      <c r="B14" s="33">
        <f>SUM(C14:F14)</f>
        <v>18</v>
      </c>
      <c r="C14" s="34">
        <v>5</v>
      </c>
      <c r="D14" s="34">
        <v>5</v>
      </c>
      <c r="E14" s="34">
        <v>3</v>
      </c>
      <c r="F14" s="33">
        <v>5</v>
      </c>
      <c r="G14" s="48">
        <v>1.5</v>
      </c>
      <c r="H14" s="48"/>
      <c r="I14" s="48"/>
      <c r="J14" s="48"/>
      <c r="K14" s="48">
        <f>SUM(G14:J14)</f>
        <v>1.5</v>
      </c>
      <c r="L14" s="48">
        <f>+((C14+D14+E14+F14)-(G14+H14+I14+J14))*-1</f>
        <v>-16.5</v>
      </c>
      <c r="M14" s="48"/>
    </row>
    <row r="15" spans="1:13">
      <c r="A15" s="29" t="s">
        <v>303</v>
      </c>
      <c r="B15" s="33">
        <f>SUM(C15:F15)</f>
        <v>2</v>
      </c>
      <c r="C15" s="34">
        <v>0</v>
      </c>
      <c r="D15" s="34">
        <v>0</v>
      </c>
      <c r="E15" s="34">
        <v>1</v>
      </c>
      <c r="F15" s="33">
        <v>1</v>
      </c>
      <c r="G15" s="48"/>
      <c r="H15" s="48"/>
      <c r="I15" s="48"/>
      <c r="J15" s="48"/>
      <c r="K15" s="48">
        <f>SUM(G15:J15)</f>
        <v>0</v>
      </c>
      <c r="L15" s="48">
        <f>+((C15+D15+E15+F15)-(G15+H15+I15+J15))*-1</f>
        <v>-2</v>
      </c>
      <c r="M15" s="48"/>
    </row>
    <row r="16" spans="1:13">
      <c r="A16" s="114" t="s">
        <v>304</v>
      </c>
      <c r="B16" s="33">
        <f>SUM(C16:F16)</f>
        <v>5</v>
      </c>
      <c r="C16" s="34">
        <v>1</v>
      </c>
      <c r="D16" s="34">
        <v>1</v>
      </c>
      <c r="E16" s="34">
        <v>1</v>
      </c>
      <c r="F16" s="34">
        <v>2</v>
      </c>
      <c r="G16" s="48"/>
      <c r="H16" s="48"/>
      <c r="I16" s="48"/>
      <c r="J16" s="48"/>
      <c r="K16" s="48">
        <f>SUM(G16:J16)</f>
        <v>0</v>
      </c>
      <c r="L16" s="48">
        <f>+((C16+D16+E16+F16)-(G16+H16+I16+J16))*-1</f>
        <v>-5</v>
      </c>
      <c r="M16" s="48"/>
    </row>
    <row r="17" spans="1:13">
      <c r="A17" s="114" t="s">
        <v>305</v>
      </c>
      <c r="B17" s="33">
        <f>SUM(C17:F17)</f>
        <v>5</v>
      </c>
      <c r="C17" s="34">
        <v>1</v>
      </c>
      <c r="D17" s="34">
        <v>1</v>
      </c>
      <c r="E17" s="34">
        <v>1</v>
      </c>
      <c r="F17" s="34">
        <v>2</v>
      </c>
      <c r="G17" s="48">
        <v>1</v>
      </c>
      <c r="H17" s="48"/>
      <c r="I17" s="48"/>
      <c r="J17" s="48"/>
      <c r="K17" s="48">
        <f>SUM(G17:J17)</f>
        <v>1</v>
      </c>
      <c r="L17" s="48">
        <f>+((C17+D17+E17+F17)-(G17+H17+I17+J17))*-1</f>
        <v>-4</v>
      </c>
      <c r="M17" s="48"/>
    </row>
    <row r="18" spans="1:13">
      <c r="A18" s="114" t="s">
        <v>291</v>
      </c>
      <c r="B18" s="33">
        <f>SUM(C18:F18)</f>
        <v>3</v>
      </c>
      <c r="C18" s="34">
        <v>0</v>
      </c>
      <c r="D18" s="34">
        <v>0</v>
      </c>
      <c r="E18" s="34">
        <v>1</v>
      </c>
      <c r="F18" s="34">
        <v>2</v>
      </c>
      <c r="G18" s="48"/>
      <c r="H18" s="48"/>
      <c r="I18" s="48"/>
      <c r="J18" s="48"/>
      <c r="K18" s="48">
        <f>SUM(G18:J18)</f>
        <v>0</v>
      </c>
      <c r="L18" s="48">
        <f>+((C18+D18+E18+F18)-(G18+H18+I18+J18))*-1</f>
        <v>-3</v>
      </c>
      <c r="M18" s="48"/>
    </row>
    <row r="19" spans="1:13">
      <c r="A19" s="114" t="s">
        <v>306</v>
      </c>
      <c r="B19" s="33">
        <f>SUM(C19:F19)</f>
        <v>2</v>
      </c>
      <c r="C19" s="34">
        <v>0</v>
      </c>
      <c r="D19" s="34">
        <v>0</v>
      </c>
      <c r="E19" s="34">
        <v>1</v>
      </c>
      <c r="F19" s="34">
        <v>1</v>
      </c>
      <c r="G19" s="48"/>
      <c r="H19" s="48"/>
      <c r="I19" s="48"/>
      <c r="J19" s="48"/>
      <c r="K19" s="48">
        <f>SUM(G19:J19)</f>
        <v>0</v>
      </c>
      <c r="L19" s="48">
        <f>+((C19+D19+E19+F19)-(G19+H19+I19+J19))*-1</f>
        <v>-2</v>
      </c>
      <c r="M19" s="48"/>
    </row>
    <row r="20" spans="1:13">
      <c r="A20" s="114" t="s">
        <v>307</v>
      </c>
      <c r="B20" s="33">
        <f>SUM(C20:F20)</f>
        <v>3</v>
      </c>
      <c r="C20" s="34">
        <v>0</v>
      </c>
      <c r="D20" s="34">
        <v>1</v>
      </c>
      <c r="E20" s="34">
        <v>1</v>
      </c>
      <c r="F20" s="34">
        <v>1</v>
      </c>
      <c r="G20" s="48"/>
      <c r="H20" s="48"/>
      <c r="I20" s="48">
        <v>1</v>
      </c>
      <c r="J20" s="48"/>
      <c r="K20" s="48">
        <f>SUM(G20:J20)</f>
        <v>1</v>
      </c>
      <c r="L20" s="48">
        <f>+((C20+D20+E20+F20)-(G20+H20+I20+J20))*-1</f>
        <v>-2</v>
      </c>
      <c r="M20" s="48"/>
    </row>
    <row r="21" spans="1:13">
      <c r="A21" s="114" t="s">
        <v>308</v>
      </c>
      <c r="B21" s="33">
        <f>SUM(C21:F21)</f>
        <v>5</v>
      </c>
      <c r="C21" s="34">
        <v>1</v>
      </c>
      <c r="D21" s="34">
        <v>1</v>
      </c>
      <c r="E21" s="34">
        <v>1</v>
      </c>
      <c r="F21" s="34">
        <v>2</v>
      </c>
      <c r="G21" s="48"/>
      <c r="H21" s="48"/>
      <c r="I21" s="48">
        <v>1</v>
      </c>
      <c r="J21" s="48">
        <v>3</v>
      </c>
      <c r="K21" s="48">
        <f>SUM(G21:J21)</f>
        <v>4</v>
      </c>
      <c r="L21" s="48">
        <f>+((C21+D21+E21+F21)-(G21+H21+I21+J21))*-1</f>
        <v>-1</v>
      </c>
      <c r="M21" s="48"/>
    </row>
    <row r="22" spans="1:13">
      <c r="A22" s="114" t="s">
        <v>287</v>
      </c>
      <c r="B22" s="33">
        <f>SUM(C22:F22)</f>
        <v>3</v>
      </c>
      <c r="C22" s="34">
        <v>0</v>
      </c>
      <c r="D22" s="34">
        <v>1</v>
      </c>
      <c r="E22" s="34">
        <v>1</v>
      </c>
      <c r="F22" s="34">
        <v>1</v>
      </c>
      <c r="G22" s="48"/>
      <c r="H22" s="48"/>
      <c r="I22" s="48"/>
      <c r="J22" s="48"/>
      <c r="K22" s="48">
        <f>SUM(G22:J22)</f>
        <v>0</v>
      </c>
      <c r="L22" s="48">
        <f>+((C22+D22+E22+F22)-(G22+H22+I22+J22))*-1</f>
        <v>-3</v>
      </c>
      <c r="M22" s="48"/>
    </row>
    <row r="23" spans="1:13">
      <c r="A23" s="114" t="s">
        <v>266</v>
      </c>
      <c r="B23" s="33">
        <f>SUM(C23:F23)</f>
        <v>1</v>
      </c>
      <c r="C23" s="34">
        <v>0</v>
      </c>
      <c r="D23" s="34">
        <v>0</v>
      </c>
      <c r="E23" s="34">
        <v>0</v>
      </c>
      <c r="F23" s="34">
        <v>1</v>
      </c>
      <c r="G23" s="48"/>
      <c r="H23" s="48"/>
      <c r="I23" s="48"/>
      <c r="J23" s="48"/>
      <c r="K23" s="48">
        <f>SUM(G23:J23)</f>
        <v>0</v>
      </c>
      <c r="L23" s="48">
        <f>+((C23+D23+E23+F23)-(G23+H23+I23+J23))*-1</f>
        <v>-1</v>
      </c>
      <c r="M23" s="48"/>
    </row>
    <row r="24" spans="1:13">
      <c r="A24" s="115" t="s">
        <v>268</v>
      </c>
      <c r="B24" s="33">
        <f>SUM(C24:F24)</f>
        <v>25</v>
      </c>
      <c r="C24" s="34">
        <v>5</v>
      </c>
      <c r="D24" s="34">
        <v>5</v>
      </c>
      <c r="E24" s="34">
        <v>7</v>
      </c>
      <c r="F24" s="34">
        <v>8</v>
      </c>
      <c r="G24" s="34">
        <v>7</v>
      </c>
      <c r="H24" s="35">
        <v>5</v>
      </c>
      <c r="I24" s="35">
        <v>3</v>
      </c>
      <c r="J24" s="35">
        <v>1</v>
      </c>
      <c r="K24" s="48">
        <f>SUM(G24:J24)</f>
        <v>16</v>
      </c>
      <c r="L24" s="48">
        <f>+((C24+D24+E24+F24)-(G24+H24+I24+J24))*-1</f>
        <v>-9</v>
      </c>
      <c r="M24" s="35"/>
    </row>
    <row r="25" spans="1:13">
      <c r="A25" s="116" t="s">
        <v>269</v>
      </c>
      <c r="B25" s="33">
        <f>SUM(C25:F25)</f>
        <v>100</v>
      </c>
      <c r="C25" s="37">
        <v>20</v>
      </c>
      <c r="D25" s="37">
        <v>20</v>
      </c>
      <c r="E25" s="37">
        <v>30</v>
      </c>
      <c r="F25" s="37">
        <v>30</v>
      </c>
      <c r="G25" s="38">
        <v>1</v>
      </c>
      <c r="H25" s="39">
        <v>2</v>
      </c>
      <c r="I25" s="39">
        <v>6</v>
      </c>
      <c r="J25" s="39">
        <v>5</v>
      </c>
      <c r="K25" s="48">
        <f>SUM(G25:J25)</f>
        <v>14</v>
      </c>
      <c r="L25" s="48">
        <f>+((C25+D25+E25+F25)-(G25+H25+I25+J25))*-1</f>
        <v>-86</v>
      </c>
      <c r="M25" s="39"/>
    </row>
    <row r="26" spans="1:13">
      <c r="A26" s="117" t="s">
        <v>161</v>
      </c>
      <c r="B26" s="33">
        <f>SUM(C26:F26)</f>
        <v>323</v>
      </c>
      <c r="C26" s="41">
        <f t="shared" ref="C26:J26" si="3">SUM(C9:C25)</f>
        <v>60</v>
      </c>
      <c r="D26" s="41">
        <f t="shared" ref="D26:F26" si="4">SUM(D8:D25)</f>
        <v>73</v>
      </c>
      <c r="E26" s="41">
        <f>SUM(E8:E25)</f>
        <v>85</v>
      </c>
      <c r="F26" s="41">
        <f>SUM(F8:F25)</f>
        <v>105</v>
      </c>
      <c r="G26" s="41">
        <f>SUM(G9:G25)</f>
        <v>27</v>
      </c>
      <c r="H26" s="41">
        <f>SUM(H9:H25)</f>
        <v>25</v>
      </c>
      <c r="I26" s="41">
        <f>SUM(I9:I25)</f>
        <v>27</v>
      </c>
      <c r="J26" s="41">
        <f>SUM(J9:J25)</f>
        <v>38</v>
      </c>
      <c r="K26" s="48">
        <f>SUM(G26:J26)</f>
        <v>117</v>
      </c>
      <c r="L26" s="48">
        <f>+((C26+D26+E26+F26)-(G26+H26+I26+J26))*-1</f>
        <v>-206</v>
      </c>
      <c r="M26" s="41">
        <f>SUM(M9:M24)</f>
        <v>0</v>
      </c>
    </row>
    <row r="27" spans="1:15">
      <c r="A27" s="42" t="s">
        <v>40</v>
      </c>
      <c r="B27" s="43"/>
      <c r="C27" s="44" t="s">
        <v>14</v>
      </c>
      <c r="D27" s="45"/>
      <c r="E27" s="45"/>
      <c r="F27" s="46"/>
      <c r="G27" s="44"/>
      <c r="H27" s="45"/>
      <c r="I27" s="45"/>
      <c r="J27" s="46"/>
      <c r="K27" s="83"/>
      <c r="L27" s="84"/>
      <c r="M27" s="84"/>
      <c r="N27" s="111"/>
      <c r="O27" s="90"/>
    </row>
    <row r="28" ht="25.5" spans="1:15">
      <c r="A28" s="47" t="s">
        <v>16</v>
      </c>
      <c r="B28" s="47" t="s">
        <v>17</v>
      </c>
      <c r="C28" s="47" t="s">
        <v>152</v>
      </c>
      <c r="D28" s="47" t="s">
        <v>154</v>
      </c>
      <c r="E28" s="47" t="s">
        <v>123</v>
      </c>
      <c r="F28" s="47" t="s">
        <v>131</v>
      </c>
      <c r="G28" s="47" t="s">
        <v>152</v>
      </c>
      <c r="H28" s="47" t="s">
        <v>278</v>
      </c>
      <c r="I28" s="47" t="s">
        <v>123</v>
      </c>
      <c r="J28" s="47" t="s">
        <v>131</v>
      </c>
      <c r="K28" s="47" t="s">
        <v>22</v>
      </c>
      <c r="L28" s="47" t="s">
        <v>41</v>
      </c>
      <c r="M28" s="47" t="s">
        <v>42</v>
      </c>
      <c r="N28" s="89"/>
      <c r="O28" s="90"/>
    </row>
    <row r="29" spans="1:15">
      <c r="A29" s="29" t="s">
        <v>265</v>
      </c>
      <c r="B29" s="48">
        <f>SUM(C29:F29)</f>
        <v>14</v>
      </c>
      <c r="C29" s="35">
        <v>2.5</v>
      </c>
      <c r="D29" s="34">
        <v>4</v>
      </c>
      <c r="E29" s="34">
        <v>3.5</v>
      </c>
      <c r="F29" s="34">
        <v>4</v>
      </c>
      <c r="G29" s="49">
        <f>+(38050+31130+33060+50000+5000+53400+73440+47300)/100000</f>
        <v>3.3138</v>
      </c>
      <c r="H29" s="50">
        <f>+(36700+15000+40620+26110+49320+15000+94520+6800+63560)/100000</f>
        <v>3.4763</v>
      </c>
      <c r="I29" s="50">
        <f>+(13700+61220+5000+47400+25000+86000+48900+17500+51000)/100000</f>
        <v>3.5572</v>
      </c>
      <c r="J29" s="76">
        <f>+(70500+76900+18300+34530+43600+5000+6000+30400+7920+42710)/100000</f>
        <v>3.3586</v>
      </c>
      <c r="K29" s="76">
        <f>SUM(G29:J29)</f>
        <v>13.7059</v>
      </c>
      <c r="L29" s="50">
        <f>+((C29+D29+E29+F29)-(G29+H29+I29+J29))*-1</f>
        <v>-0.2941</v>
      </c>
      <c r="M29" s="91">
        <f>+K29/B29</f>
        <v>0.978992857142857</v>
      </c>
      <c r="N29" s="89"/>
      <c r="O29" s="90"/>
    </row>
    <row r="30" spans="1:15">
      <c r="A30" s="29" t="s">
        <v>222</v>
      </c>
      <c r="B30" s="48">
        <f t="shared" ref="B30:B36" si="5">SUM(C30:F30)</f>
        <v>10.5</v>
      </c>
      <c r="C30" s="35">
        <v>2.5</v>
      </c>
      <c r="D30" s="34">
        <v>3</v>
      </c>
      <c r="E30" s="34">
        <v>3</v>
      </c>
      <c r="F30" s="34">
        <v>2</v>
      </c>
      <c r="G30" s="49">
        <f>+(5000+6200+15750+1800+46200+25800+8600)/100000</f>
        <v>1.0935</v>
      </c>
      <c r="H30" s="50">
        <f>+(230400+170800+15400+31400+47800+16200)/100000</f>
        <v>5.12</v>
      </c>
      <c r="I30" s="50">
        <f>+(20650+18850+47000+33200+11100+36600)/100000</f>
        <v>1.674</v>
      </c>
      <c r="J30" s="50">
        <f>+(36500+41900+10000+14200+16900+22000+34200)/100000</f>
        <v>1.757</v>
      </c>
      <c r="K30" s="76">
        <f t="shared" ref="K30:K45" si="6">SUM(G30:J30)</f>
        <v>9.6445</v>
      </c>
      <c r="L30" s="50">
        <f t="shared" ref="L30:L45" si="7">+((C30+D30+E30+F30)-(G30+H30+I30+J30))*-1</f>
        <v>-0.855500000000001</v>
      </c>
      <c r="M30" s="91">
        <f t="shared" ref="M30:M45" si="8">+K30/B30</f>
        <v>0.91852380952381</v>
      </c>
      <c r="N30" s="89"/>
      <c r="O30" s="90"/>
    </row>
    <row r="31" spans="1:15">
      <c r="A31" s="29" t="s">
        <v>266</v>
      </c>
      <c r="B31" s="48">
        <f>SUM(C31:F31)</f>
        <v>10.5</v>
      </c>
      <c r="C31" s="35">
        <v>2</v>
      </c>
      <c r="D31" s="34">
        <v>3</v>
      </c>
      <c r="E31" s="34">
        <v>2.5</v>
      </c>
      <c r="F31" s="34">
        <v>3</v>
      </c>
      <c r="G31" s="49">
        <f>+(43100+33400+37900+11500+34700+11200+16300)/100000</f>
        <v>1.881</v>
      </c>
      <c r="H31" s="50">
        <f>+(170100+16200+12900+28300+18200+15400)/100000</f>
        <v>2.611</v>
      </c>
      <c r="I31" s="50">
        <f>+(10900+11200+14300+28900+21900+11700)/100000</f>
        <v>0.989</v>
      </c>
      <c r="J31" s="50">
        <f>+(24700+25300+11000+18300+14800+147800+10800)/100000</f>
        <v>2.527</v>
      </c>
      <c r="K31" s="76">
        <f>SUM(G31:J31)</f>
        <v>8.008</v>
      </c>
      <c r="L31" s="50">
        <f>+((C31+D31+E31+F31)-(G31+H31+I31+J31))*-1</f>
        <v>-2.492</v>
      </c>
      <c r="M31" s="91">
        <f>+K31/B31</f>
        <v>0.762666666666667</v>
      </c>
      <c r="N31" s="92"/>
      <c r="O31" s="93"/>
    </row>
    <row r="32" spans="1:15">
      <c r="A32" s="29" t="s">
        <v>293</v>
      </c>
      <c r="B32" s="48">
        <f>SUM(C32:F32)</f>
        <v>9</v>
      </c>
      <c r="C32" s="35">
        <v>2</v>
      </c>
      <c r="D32" s="34">
        <v>2.5</v>
      </c>
      <c r="E32" s="34">
        <v>2</v>
      </c>
      <c r="F32" s="34">
        <v>2.5</v>
      </c>
      <c r="G32" s="49">
        <f>+(16300+18600+16200+21700+48300+38800+28300)/100000</f>
        <v>1.882</v>
      </c>
      <c r="H32" s="50">
        <f>+(19080+65850+28950+29700+14500+53160)/100000</f>
        <v>2.1124</v>
      </c>
      <c r="I32" s="50">
        <f>+(47050+43600+25900+54900+36100+28400)/100000</f>
        <v>2.3595</v>
      </c>
      <c r="J32" s="50">
        <f>+(1900+59450+18780+29220+30900+16650+11675)/100000</f>
        <v>1.68575</v>
      </c>
      <c r="K32" s="76">
        <f>SUM(G32:J32)</f>
        <v>8.03965</v>
      </c>
      <c r="L32" s="50">
        <f>+((C32+D32+E32+F32)-(G32+H32+I32+J32))*-1</f>
        <v>-0.96035</v>
      </c>
      <c r="M32" s="91">
        <f>+K32/B32</f>
        <v>0.893294444444445</v>
      </c>
      <c r="N32" s="92"/>
      <c r="O32" s="93"/>
    </row>
    <row r="33" spans="1:15">
      <c r="A33" s="29" t="s">
        <v>261</v>
      </c>
      <c r="B33" s="48">
        <f>SUM(C33:F33)</f>
        <v>5</v>
      </c>
      <c r="C33" s="35">
        <v>1.5</v>
      </c>
      <c r="D33" s="34">
        <v>1</v>
      </c>
      <c r="E33" s="34">
        <v>1.5</v>
      </c>
      <c r="F33" s="34">
        <v>1</v>
      </c>
      <c r="G33" s="49">
        <f>+(17600+19500+19300+19050+40900+19150+20500)/100000</f>
        <v>1.56</v>
      </c>
      <c r="H33" s="50">
        <f>+(26700+23300+19200+35200+4900+24000)/100000</f>
        <v>1.333</v>
      </c>
      <c r="I33" s="50">
        <f>+(27000+24550+19800+40100+20200+19200)/100000</f>
        <v>1.5085</v>
      </c>
      <c r="J33" s="50">
        <f>+(21300+19600+18100+18800+22850+19100+23700)/100000</f>
        <v>1.4345</v>
      </c>
      <c r="K33" s="76">
        <f>SUM(G33:J33)</f>
        <v>5.836</v>
      </c>
      <c r="L33" s="50">
        <f>+((C33+D33+E33+F33)-(G33+H33+I33+J33))*-1</f>
        <v>0.835999999999999</v>
      </c>
      <c r="M33" s="91">
        <f>+K33/B33</f>
        <v>1.1672</v>
      </c>
      <c r="N33" s="92"/>
      <c r="O33" s="93"/>
    </row>
    <row r="34" spans="1:15">
      <c r="A34" s="29" t="s">
        <v>209</v>
      </c>
      <c r="B34" s="48">
        <f>SUM(C34:F34)</f>
        <v>11.5</v>
      </c>
      <c r="C34" s="34">
        <v>2.5</v>
      </c>
      <c r="D34" s="34">
        <v>3</v>
      </c>
      <c r="E34" s="34">
        <v>2.5</v>
      </c>
      <c r="F34" s="34">
        <v>3.5</v>
      </c>
      <c r="G34" s="49">
        <f>+(32200+24100+5000+30800+22000+24500+16800+22000+20000+26300)/100000</f>
        <v>2.237</v>
      </c>
      <c r="H34" s="50">
        <f>+(53600+49100+35100+6600+23000+33000+54400+5000+4900+76000+10000)/100000</f>
        <v>3.507</v>
      </c>
      <c r="I34" s="50">
        <f>+(29600+40700+21400+46000+38400+56200+4400)/100000</f>
        <v>2.367</v>
      </c>
      <c r="J34" s="50">
        <f>+(31800+72100+302000+27400+31000+18300+45100+18900+3000+5000)/100000</f>
        <v>5.546</v>
      </c>
      <c r="K34" s="76">
        <f>SUM(G34:J34)</f>
        <v>13.657</v>
      </c>
      <c r="L34" s="50">
        <f>+((C34+D34+E34+F34)-(G34+H34+I34+J34))*-1</f>
        <v>2.157</v>
      </c>
      <c r="M34" s="91">
        <f>+K34/B34</f>
        <v>1.1875652173913</v>
      </c>
      <c r="N34" s="92"/>
      <c r="O34" s="93"/>
    </row>
    <row r="35" spans="1:15">
      <c r="A35" s="51" t="s">
        <v>263</v>
      </c>
      <c r="B35" s="48">
        <f>SUM(C35:F35)</f>
        <v>10</v>
      </c>
      <c r="C35" s="35">
        <v>2</v>
      </c>
      <c r="D35" s="52">
        <v>2.5</v>
      </c>
      <c r="E35" s="52">
        <v>3</v>
      </c>
      <c r="F35" s="52">
        <v>2.5</v>
      </c>
      <c r="G35" s="49">
        <f>+(28350+40910+23450+23740+22900+38850+10300)/100000</f>
        <v>1.885</v>
      </c>
      <c r="H35" s="50">
        <f>+(21150+53550+28900+22305+23100+17760)/100000</f>
        <v>1.66765</v>
      </c>
      <c r="I35" s="50">
        <f>+(20500+27050+20850+22650+32250+20600)/100000</f>
        <v>1.439</v>
      </c>
      <c r="J35" s="50">
        <f>+(32600+22600+17900+27100+50400+16900+65280)/100000</f>
        <v>2.3278</v>
      </c>
      <c r="K35" s="76">
        <f>SUM(G35:J35)</f>
        <v>7.31945</v>
      </c>
      <c r="L35" s="50">
        <f>+((C35+D35+E35+F35)-(G35+H35+I35+J35))*-1</f>
        <v>-2.68055</v>
      </c>
      <c r="M35" s="91">
        <f>+K35/B35</f>
        <v>0.731945</v>
      </c>
      <c r="N35" s="94"/>
      <c r="O35" s="95"/>
    </row>
    <row r="36" spans="1:15">
      <c r="A36" s="51" t="s">
        <v>271</v>
      </c>
      <c r="B36" s="48">
        <f>SUM(C36:F36)</f>
        <v>7.5</v>
      </c>
      <c r="C36" s="35">
        <v>1.5</v>
      </c>
      <c r="D36" s="52">
        <v>2.5</v>
      </c>
      <c r="E36" s="52">
        <v>1.5</v>
      </c>
      <c r="F36" s="52">
        <v>2</v>
      </c>
      <c r="G36" s="49">
        <f>+(23600+33200+17300+9700+18400+5700+12500)/100000</f>
        <v>1.204</v>
      </c>
      <c r="H36" s="50">
        <f>+(25200+86900+11100+21900+35900+6300)/100000</f>
        <v>1.873</v>
      </c>
      <c r="I36" s="50">
        <f>+(2800+17700+7000+45700+4700+3000)/100000</f>
        <v>0.809</v>
      </c>
      <c r="J36" s="50">
        <f>+(2800+42400+1900+3000+18300+32300+53100)/100000</f>
        <v>1.538</v>
      </c>
      <c r="K36" s="76">
        <f>SUM(G36:J36)</f>
        <v>5.424</v>
      </c>
      <c r="L36" s="50">
        <f>+((C36+D36+E36+F36)-(G36+H36+I36+J36))*-1</f>
        <v>-2.076</v>
      </c>
      <c r="M36" s="91">
        <f>+K36/B36</f>
        <v>0.7232</v>
      </c>
      <c r="N36" s="92"/>
      <c r="O36" s="93"/>
    </row>
    <row r="37" spans="1:15">
      <c r="A37" s="51" t="s">
        <v>262</v>
      </c>
      <c r="B37" s="48">
        <f t="shared" ref="B37:B45" si="9">SUM(C37:F37)</f>
        <v>9</v>
      </c>
      <c r="C37" s="35">
        <v>2</v>
      </c>
      <c r="D37" s="52">
        <v>3</v>
      </c>
      <c r="E37" s="52">
        <v>2</v>
      </c>
      <c r="F37" s="52">
        <v>2</v>
      </c>
      <c r="G37" s="49">
        <f>+(13600+27400+25200+23400+89600+31250+33010)/100000</f>
        <v>2.4346</v>
      </c>
      <c r="H37" s="50">
        <f>+(19750+34460+27450+46500+53800+26100)/100000</f>
        <v>2.0806</v>
      </c>
      <c r="I37" s="50">
        <f>+(31100+34500+1300+43000+27600+36800)/100000</f>
        <v>1.743</v>
      </c>
      <c r="J37" s="50">
        <f>+(38600+49100+30300+35600+18800+24500+14100)/100000</f>
        <v>2.11</v>
      </c>
      <c r="K37" s="76">
        <f>SUM(G37:J37)</f>
        <v>8.3682</v>
      </c>
      <c r="L37" s="50">
        <f>+((C37+D37+E37+F37)-(G37+H37+I37+J37))*-1</f>
        <v>-0.6318</v>
      </c>
      <c r="M37" s="91">
        <f>+K37/B37</f>
        <v>0.9298</v>
      </c>
      <c r="N37" s="92"/>
      <c r="O37" s="93"/>
    </row>
    <row r="38" spans="1:15">
      <c r="A38" s="51" t="s">
        <v>172</v>
      </c>
      <c r="B38" s="48">
        <f>SUM(C38:F38)</f>
        <v>11</v>
      </c>
      <c r="C38" s="35">
        <v>3</v>
      </c>
      <c r="D38" s="52">
        <v>3</v>
      </c>
      <c r="E38" s="52">
        <v>3</v>
      </c>
      <c r="F38" s="52">
        <v>2</v>
      </c>
      <c r="G38" s="49">
        <f>+(17000+17600+25200+14500+97200+33000+11600)/100000</f>
        <v>2.161</v>
      </c>
      <c r="H38" s="50">
        <f>+(19100+59600+5300+49800+61000+12400)/100000</f>
        <v>2.072</v>
      </c>
      <c r="I38" s="50">
        <f>+(37800+26800+34500+141900+35500+20600)/100000</f>
        <v>2.971</v>
      </c>
      <c r="J38" s="50">
        <f>+(11200+25500+15250+112400+19500+21300+16150)/100000</f>
        <v>2.213</v>
      </c>
      <c r="K38" s="76">
        <f>SUM(G38:J38)</f>
        <v>9.417</v>
      </c>
      <c r="L38" s="50">
        <f>+((C38+D38+E38+F38)-(G38+H38+I38+J38))*-1</f>
        <v>-1.583</v>
      </c>
      <c r="M38" s="91">
        <f>+K38/B38</f>
        <v>0.856090909090909</v>
      </c>
      <c r="N38" s="92"/>
      <c r="O38" s="93"/>
    </row>
    <row r="39" spans="1:15">
      <c r="A39" s="51" t="s">
        <v>141</v>
      </c>
      <c r="B39" s="48">
        <f>SUM(C39:F39)</f>
        <v>10</v>
      </c>
      <c r="C39" s="35">
        <v>2.5</v>
      </c>
      <c r="D39" s="52">
        <v>3</v>
      </c>
      <c r="E39" s="52">
        <v>2</v>
      </c>
      <c r="F39" s="52">
        <v>2.5</v>
      </c>
      <c r="G39" s="49">
        <f>+(22700+23300+16500+28600+21300+23150+73500)/100000</f>
        <v>2.0905</v>
      </c>
      <c r="H39" s="50">
        <f>+(24000+49500+15500+43900+46800+35700)/100000</f>
        <v>2.154</v>
      </c>
      <c r="I39" s="50">
        <f>+(32840+21400+23900+43800+14900+28060)/100000</f>
        <v>1.649</v>
      </c>
      <c r="J39" s="50">
        <f>+(24850+62500+43100+20100+22800+13500+11000)/100000</f>
        <v>1.9785</v>
      </c>
      <c r="K39" s="76">
        <f>SUM(G39:J39)</f>
        <v>7.872</v>
      </c>
      <c r="L39" s="50">
        <f>+((C39+D39+E39+F39)-(G39+H39+I39+J39))*-1</f>
        <v>-2.128</v>
      </c>
      <c r="M39" s="91">
        <f>+K39/B39</f>
        <v>0.7872</v>
      </c>
      <c r="N39" s="92"/>
      <c r="O39" s="93"/>
    </row>
    <row r="40" spans="1:15">
      <c r="A40" s="51" t="s">
        <v>267</v>
      </c>
      <c r="B40" s="48">
        <f>SUM(C40:F40)</f>
        <v>10.5</v>
      </c>
      <c r="C40" s="35">
        <v>2</v>
      </c>
      <c r="D40" s="52">
        <v>3</v>
      </c>
      <c r="E40" s="52">
        <v>2.5</v>
      </c>
      <c r="F40" s="52">
        <v>3</v>
      </c>
      <c r="G40" s="49">
        <f>+(40940+31000+29700+28550+31000+25200+41300)/100000</f>
        <v>2.2769</v>
      </c>
      <c r="H40" s="50">
        <f>+(109700+40540+35300+43950+33900+26100)/100000</f>
        <v>2.8949</v>
      </c>
      <c r="I40" s="50">
        <f>+(82950+45460+56300+50000+63570+52800)/100000</f>
        <v>3.5108</v>
      </c>
      <c r="J40" s="50">
        <f>+(24650+65950+20700+21100+28950+19450+48900)/100000</f>
        <v>2.297</v>
      </c>
      <c r="K40" s="76">
        <f>SUM(G40:J40)</f>
        <v>10.9796</v>
      </c>
      <c r="L40" s="50">
        <f>+((C40+D40+E40+F40)-(G40+H40+I40+J40))*-1</f>
        <v>0.4796</v>
      </c>
      <c r="M40" s="91">
        <f>+K40/B40</f>
        <v>1.04567619047619</v>
      </c>
      <c r="N40" s="92"/>
      <c r="O40" s="93"/>
    </row>
    <row r="41" spans="1:15">
      <c r="A41" s="51" t="s">
        <v>290</v>
      </c>
      <c r="B41" s="48">
        <f>SUM(C41:F41)</f>
        <v>3.3</v>
      </c>
      <c r="C41" s="35">
        <v>0.1</v>
      </c>
      <c r="D41" s="52">
        <v>0.1</v>
      </c>
      <c r="E41" s="52">
        <v>0.1</v>
      </c>
      <c r="F41" s="52">
        <v>3</v>
      </c>
      <c r="G41" s="49">
        <f>+(100+5000+5200+400)/100000</f>
        <v>0.107</v>
      </c>
      <c r="H41" s="50">
        <f>+(200+6200+200+200+5400)/100000</f>
        <v>0.122</v>
      </c>
      <c r="I41" s="50">
        <f>+(4200+224200+2200+3200+14200+4200)/100000</f>
        <v>2.522</v>
      </c>
      <c r="J41" s="50">
        <f>+(9200+113200+11800+13200+22800)/100000</f>
        <v>1.702</v>
      </c>
      <c r="K41" s="76">
        <f>SUM(G41:J41)</f>
        <v>4.453</v>
      </c>
      <c r="L41" s="50">
        <f>+((C41+D41+E41+F41)-(G41+H41+I41+J41))*-1</f>
        <v>1.153</v>
      </c>
      <c r="M41" s="91">
        <f>+K41/B41</f>
        <v>1.34939393939394</v>
      </c>
      <c r="N41" s="92"/>
      <c r="O41" s="93"/>
    </row>
    <row r="42" spans="1:15">
      <c r="A42" s="53" t="s">
        <v>29</v>
      </c>
      <c r="B42" s="48">
        <f>SUM(C42:F42)</f>
        <v>2.5</v>
      </c>
      <c r="C42" s="34">
        <v>0.5</v>
      </c>
      <c r="D42" s="34">
        <v>0.5</v>
      </c>
      <c r="E42" s="34">
        <v>0.75</v>
      </c>
      <c r="F42" s="34">
        <v>0.75</v>
      </c>
      <c r="G42" s="49">
        <f>+(10000)/100000</f>
        <v>0.1</v>
      </c>
      <c r="H42" s="50">
        <f>+(8000)/100000</f>
        <v>0.08</v>
      </c>
      <c r="I42" s="50">
        <f>+(74800)/100000</f>
        <v>0.748</v>
      </c>
      <c r="J42" s="50">
        <f>+(8800+13200)/100000</f>
        <v>0.22</v>
      </c>
      <c r="K42" s="76">
        <f>SUM(G42:J42)</f>
        <v>1.148</v>
      </c>
      <c r="L42" s="50">
        <f>+((C42+D42+E42+F42)-(G42+H42+I42+J42))*-1</f>
        <v>-1.352</v>
      </c>
      <c r="M42" s="91">
        <f>+K42/B42</f>
        <v>0.4592</v>
      </c>
      <c r="N42" s="92"/>
      <c r="O42" s="93"/>
    </row>
    <row r="43" spans="1:15">
      <c r="A43" s="53" t="s">
        <v>35</v>
      </c>
      <c r="B43" s="48">
        <f>SUM(C43:F43)</f>
        <v>3</v>
      </c>
      <c r="C43" s="35">
        <v>0.5</v>
      </c>
      <c r="D43" s="52">
        <v>0.5</v>
      </c>
      <c r="E43" s="52">
        <v>1</v>
      </c>
      <c r="F43" s="52">
        <v>1</v>
      </c>
      <c r="G43" s="49"/>
      <c r="H43" s="50">
        <f>+(31880)/100000</f>
        <v>0.3188</v>
      </c>
      <c r="I43" s="50">
        <f>+(40452)/100000</f>
        <v>0.40452</v>
      </c>
      <c r="J43" s="50">
        <f>+(83260)/100000</f>
        <v>0.8326</v>
      </c>
      <c r="K43" s="76">
        <f>SUM(G43:J43)</f>
        <v>1.55592</v>
      </c>
      <c r="L43" s="50">
        <f>+((C43+D43+E43+F43)-(G43+H43+I43+J43))*-1</f>
        <v>-1.44408</v>
      </c>
      <c r="M43" s="91">
        <f>+K43/B43</f>
        <v>0.51864</v>
      </c>
      <c r="N43" s="92"/>
      <c r="O43" s="93"/>
    </row>
    <row r="44" spans="1:15">
      <c r="A44" s="53" t="s">
        <v>38</v>
      </c>
      <c r="B44" s="48">
        <f>SUM(C44:F44)</f>
        <v>22.7</v>
      </c>
      <c r="C44" s="35">
        <v>5</v>
      </c>
      <c r="D44" s="52">
        <v>5</v>
      </c>
      <c r="E44" s="52">
        <v>6</v>
      </c>
      <c r="F44" s="52">
        <v>6.7</v>
      </c>
      <c r="G44" s="49">
        <f>+(4200+8504+12340+9220+10600+17000+19500+49020+6700+39370+24200+30800+34400+31945+9720)/100000</f>
        <v>3.07519</v>
      </c>
      <c r="H44" s="50">
        <f>+(53700+8800+44000+36000+7090+25000+22800+26805+36650+26000+29600+29000)/100000</f>
        <v>3.45445</v>
      </c>
      <c r="I44" s="50">
        <f>+(340+200000+5400+7020+35200+5000+20580+4400+20580+4400+14520+30325+17600+281870+8800)/100000</f>
        <v>6.56035</v>
      </c>
      <c r="J44" s="50">
        <f>+(33385+44000+325+21600+1000+4800+12600+112100+33200+4540+5000+27850+5050)/100000</f>
        <v>3.0545</v>
      </c>
      <c r="K44" s="76">
        <f>SUM(G44:J44)</f>
        <v>16.14449</v>
      </c>
      <c r="L44" s="50">
        <f>+((C44+D44+E44+F44)-(G44+H44+I44+J44))*-1</f>
        <v>-6.55551</v>
      </c>
      <c r="M44" s="91">
        <f>+K44/B44</f>
        <v>0.711211013215859</v>
      </c>
      <c r="N44" s="92"/>
      <c r="O44" s="93"/>
    </row>
    <row r="45" spans="1:15">
      <c r="A45" s="54" t="s">
        <v>44</v>
      </c>
      <c r="B45" s="48">
        <f>SUM(C45:F45)</f>
        <v>150</v>
      </c>
      <c r="C45" s="35">
        <f t="shared" ref="C45:J45" si="10">SUM(C29:C44)</f>
        <v>32.1</v>
      </c>
      <c r="D45" s="48">
        <f>SUM(D29:D44)</f>
        <v>39.6</v>
      </c>
      <c r="E45" s="48">
        <f>SUM(E29:E44)</f>
        <v>36.85</v>
      </c>
      <c r="F45" s="48">
        <f>SUM(F29:F44)</f>
        <v>41.45</v>
      </c>
      <c r="G45" s="49">
        <f>SUM(G29:G44)</f>
        <v>27.30149</v>
      </c>
      <c r="H45" s="50">
        <f>SUM(H29:H44)</f>
        <v>34.8771</v>
      </c>
      <c r="I45" s="50">
        <f>SUM(I29:I44)</f>
        <v>34.81187</v>
      </c>
      <c r="J45" s="50">
        <f>SUM(J29:J44)</f>
        <v>34.58225</v>
      </c>
      <c r="K45" s="76">
        <f>SUM(G45:J45)</f>
        <v>131.57271</v>
      </c>
      <c r="L45" s="50">
        <f>+((C45+D45+E45+F45)-(G45+H45+I45+J45))*-1</f>
        <v>-18.42729</v>
      </c>
      <c r="M45" s="91">
        <f>+K45/B45</f>
        <v>0.8771514</v>
      </c>
      <c r="N45" s="92"/>
      <c r="O45" s="93"/>
    </row>
    <row r="46" spans="1:15">
      <c r="A46" s="55"/>
      <c r="B46" s="56"/>
      <c r="C46" s="57"/>
      <c r="N46" s="94"/>
      <c r="O46" s="95"/>
    </row>
    <row r="47" spans="14:15">
      <c r="N47" s="92"/>
      <c r="O47" s="93"/>
    </row>
    <row r="48" spans="14:15">
      <c r="N48" s="92"/>
      <c r="O48" s="93"/>
    </row>
    <row r="49" spans="2:15">
      <c r="B49" s="1"/>
      <c r="N49" s="92"/>
      <c r="O49" s="93"/>
    </row>
    <row r="50" spans="2:15">
      <c r="B50" s="1"/>
      <c r="N50" s="92"/>
      <c r="O50" s="93"/>
    </row>
    <row r="51" spans="2:15">
      <c r="B51" s="1"/>
      <c r="N51" s="92"/>
      <c r="O51" s="93"/>
    </row>
    <row r="52" spans="2:15">
      <c r="B52" s="1"/>
      <c r="N52" s="92"/>
      <c r="O52" s="93"/>
    </row>
    <row r="53" spans="2:15">
      <c r="B53" s="1"/>
      <c r="N53" s="92"/>
      <c r="O53" s="93"/>
    </row>
    <row r="54" spans="2:15">
      <c r="B54" s="1"/>
      <c r="N54" s="92"/>
      <c r="O54" s="93"/>
    </row>
    <row r="55" spans="2:15">
      <c r="B55" s="1"/>
      <c r="N55" s="92"/>
      <c r="O55" s="93"/>
    </row>
    <row r="56" spans="2:15">
      <c r="B56" s="1"/>
      <c r="N56" s="94"/>
      <c r="O56" s="95"/>
    </row>
    <row r="57" spans="2:15">
      <c r="B57" s="1"/>
      <c r="N57" s="92"/>
      <c r="O57" s="93"/>
    </row>
    <row r="58" spans="2:15">
      <c r="B58" s="1"/>
      <c r="N58" s="92"/>
      <c r="O58" s="93"/>
    </row>
    <row r="59" spans="2:15">
      <c r="B59" s="1"/>
      <c r="N59" s="92"/>
      <c r="O59" s="93"/>
    </row>
    <row r="60" spans="2:15">
      <c r="B60" s="1"/>
      <c r="N60" s="92"/>
      <c r="O60" s="93"/>
    </row>
    <row r="61" spans="2:15">
      <c r="B61" s="1"/>
      <c r="N61" s="92"/>
      <c r="O61" s="93"/>
    </row>
    <row r="62" spans="2:15">
      <c r="B62" s="1"/>
      <c r="N62" s="92"/>
      <c r="O62" s="93"/>
    </row>
    <row r="63" spans="2:15">
      <c r="B63" s="1"/>
      <c r="N63" s="92"/>
      <c r="O63" s="93"/>
    </row>
    <row r="64" spans="2:15">
      <c r="B64" s="1"/>
      <c r="N64" s="94"/>
      <c r="O64" s="95"/>
    </row>
    <row r="65" spans="2:15">
      <c r="B65" s="1"/>
      <c r="N65" s="92"/>
      <c r="O65" s="93"/>
    </row>
    <row r="66" spans="2:15">
      <c r="B66" s="1"/>
      <c r="N66" s="92"/>
      <c r="O66" s="93"/>
    </row>
    <row r="67" spans="2:15">
      <c r="B67" s="1"/>
      <c r="N67" s="92"/>
      <c r="O67" s="93"/>
    </row>
    <row r="68" spans="2:15">
      <c r="B68" s="1"/>
      <c r="N68" s="92"/>
      <c r="O68" s="93"/>
    </row>
    <row r="69" spans="2:15">
      <c r="B69" s="1"/>
      <c r="N69" s="92"/>
      <c r="O69" s="93"/>
    </row>
    <row r="70" spans="2:15">
      <c r="B70" s="1"/>
      <c r="N70" s="92"/>
      <c r="O70" s="93"/>
    </row>
    <row r="71" spans="2:15">
      <c r="B71" s="1"/>
      <c r="N71" s="92"/>
      <c r="O71" s="93"/>
    </row>
    <row r="72" spans="2:15">
      <c r="B72" s="1"/>
      <c r="N72" s="92"/>
      <c r="O72" s="96"/>
    </row>
  </sheetData>
  <mergeCells count="5">
    <mergeCell ref="D5:F5"/>
    <mergeCell ref="C6:F6"/>
    <mergeCell ref="G6:J6"/>
    <mergeCell ref="C27:F27"/>
    <mergeCell ref="G27:J27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6"/>
  <sheetViews>
    <sheetView topLeftCell="A21" workbookViewId="0">
      <selection activeCell="A1" sqref="A1:M39"/>
    </sheetView>
  </sheetViews>
  <sheetFormatPr defaultColWidth="9" defaultRowHeight="15"/>
  <cols>
    <col min="1" max="1" width="18.8571428571429" style="1" customWidth="1"/>
    <col min="2" max="2" width="9.57142857142857" style="2" customWidth="1"/>
    <col min="3" max="3" width="8.85714285714286" style="1" customWidth="1"/>
    <col min="4" max="4" width="9.14285714285714" style="1" customWidth="1"/>
    <col min="5" max="5" width="9" style="1" customWidth="1"/>
    <col min="6" max="6" width="9.57142857142857" style="1" customWidth="1"/>
    <col min="7" max="7" width="9.42857142857143" style="1" customWidth="1"/>
    <col min="8" max="8" width="9" style="1" customWidth="1"/>
    <col min="9" max="9" width="8.85714285714286" style="1" customWidth="1"/>
    <col min="10" max="10" width="9" style="1" customWidth="1"/>
    <col min="11" max="11" width="9.42857142857143" style="1" customWidth="1"/>
    <col min="12" max="12" width="11" style="1" customWidth="1"/>
    <col min="13" max="13" width="8.42857142857143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ht="12.75" customHeight="1" spans="1:13">
      <c r="A1" s="161" t="s">
        <v>52</v>
      </c>
      <c r="B1" s="119" t="s">
        <v>53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ht="13.5" customHeight="1" spans="1:13">
      <c r="A2" s="6" t="s">
        <v>2</v>
      </c>
      <c r="B2" s="7">
        <f>+K22</f>
        <v>146.5</v>
      </c>
      <c r="C2" s="8"/>
      <c r="D2" s="8"/>
      <c r="E2" s="8"/>
      <c r="F2" s="8"/>
      <c r="G2" s="8"/>
      <c r="H2" s="8"/>
      <c r="I2" s="8"/>
      <c r="J2" s="8"/>
      <c r="K2" s="8"/>
      <c r="L2" s="8"/>
      <c r="M2" s="104"/>
    </row>
    <row r="3" ht="12.75" customHeight="1" spans="1:13">
      <c r="A3" s="6" t="s">
        <v>3</v>
      </c>
      <c r="B3" s="7">
        <f>+M22</f>
        <v>201</v>
      </c>
      <c r="C3" s="8"/>
      <c r="D3" s="8"/>
      <c r="E3" s="8"/>
      <c r="F3" s="8"/>
      <c r="G3" s="8"/>
      <c r="H3" s="8"/>
      <c r="I3" s="8"/>
      <c r="J3" s="8"/>
      <c r="K3" s="8"/>
      <c r="L3" s="8"/>
      <c r="M3" s="104"/>
    </row>
    <row r="4" ht="12" customHeight="1" spans="1:13">
      <c r="A4" s="6" t="s">
        <v>54</v>
      </c>
      <c r="B4" s="11"/>
      <c r="C4" s="12"/>
      <c r="D4" s="13" t="s">
        <v>5</v>
      </c>
      <c r="E4" s="12">
        <v>6.5</v>
      </c>
      <c r="F4" s="12"/>
      <c r="G4" s="14" t="s">
        <v>6</v>
      </c>
      <c r="H4" s="155">
        <v>4989000</v>
      </c>
      <c r="I4" s="12" t="s">
        <v>7</v>
      </c>
      <c r="J4" s="13">
        <f>+K39</f>
        <v>71.04411</v>
      </c>
      <c r="K4" s="12" t="s">
        <v>8</v>
      </c>
      <c r="L4" s="12" t="s">
        <v>9</v>
      </c>
      <c r="M4" s="106"/>
    </row>
    <row r="5" ht="12.75" customHeight="1" spans="1:13">
      <c r="A5" s="16" t="s">
        <v>10</v>
      </c>
      <c r="B5" s="17" t="s">
        <v>49</v>
      </c>
      <c r="C5" s="18" t="s">
        <v>55</v>
      </c>
      <c r="D5" s="19">
        <v>5767500</v>
      </c>
      <c r="E5" s="19"/>
      <c r="F5" s="19"/>
      <c r="G5" s="20"/>
      <c r="H5" s="21"/>
      <c r="I5" s="62"/>
      <c r="J5" s="62"/>
      <c r="K5" s="62"/>
      <c r="L5" s="62"/>
      <c r="M5" s="105"/>
    </row>
    <row r="6" ht="12.75" customHeight="1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6.25" customHeight="1" spans="1:13">
      <c r="A7" s="25" t="s">
        <v>16</v>
      </c>
      <c r="B7" s="25" t="s">
        <v>17</v>
      </c>
      <c r="C7" s="25" t="s">
        <v>18</v>
      </c>
      <c r="D7" s="25" t="s">
        <v>19</v>
      </c>
      <c r="E7" s="25" t="s">
        <v>20</v>
      </c>
      <c r="F7" s="25" t="s">
        <v>56</v>
      </c>
      <c r="G7" s="25" t="s">
        <v>18</v>
      </c>
      <c r="H7" s="25" t="s">
        <v>19</v>
      </c>
      <c r="I7" s="25" t="s">
        <v>20</v>
      </c>
      <c r="J7" s="25" t="s">
        <v>57</v>
      </c>
      <c r="K7" s="25" t="s">
        <v>22</v>
      </c>
      <c r="L7" s="25" t="s">
        <v>23</v>
      </c>
      <c r="M7" s="25" t="s">
        <v>24</v>
      </c>
    </row>
    <row r="8" ht="12.75" customHeight="1" spans="1:13">
      <c r="A8" s="163" t="s">
        <v>25</v>
      </c>
      <c r="B8" s="34">
        <f>SUM(C8:F8)</f>
        <v>15</v>
      </c>
      <c r="C8" s="34">
        <v>2</v>
      </c>
      <c r="D8" s="34">
        <v>3</v>
      </c>
      <c r="E8" s="34">
        <v>5</v>
      </c>
      <c r="F8" s="34">
        <v>5</v>
      </c>
      <c r="G8" s="50"/>
      <c r="H8" s="50"/>
      <c r="I8" s="35">
        <v>3.5</v>
      </c>
      <c r="J8" s="35">
        <v>1.5</v>
      </c>
      <c r="K8" s="35">
        <f t="shared" ref="K8:K22" si="0">SUM(G8:J8)</f>
        <v>5</v>
      </c>
      <c r="L8" s="35">
        <f>+((C8+D8+E8+F8)-(G8+H8+I8+J8))*-1</f>
        <v>-10</v>
      </c>
      <c r="M8" s="50"/>
    </row>
    <row r="9" ht="13.5" customHeight="1" spans="1:13">
      <c r="A9" s="163" t="s">
        <v>26</v>
      </c>
      <c r="B9" s="34">
        <f t="shared" ref="B9:B21" si="1">SUM(C9:F9)</f>
        <v>15</v>
      </c>
      <c r="C9" s="34">
        <v>5</v>
      </c>
      <c r="D9" s="34">
        <v>3</v>
      </c>
      <c r="E9" s="34">
        <v>5</v>
      </c>
      <c r="F9" s="34">
        <v>2</v>
      </c>
      <c r="G9" s="35">
        <v>11</v>
      </c>
      <c r="H9" s="50"/>
      <c r="I9" s="35">
        <v>4</v>
      </c>
      <c r="J9" s="35"/>
      <c r="K9" s="35">
        <f>SUM(G9:J9)</f>
        <v>15</v>
      </c>
      <c r="L9" s="35">
        <f t="shared" ref="L9:L22" si="2">+((C9+D9+E9+F9)-(G9+H9+I9+J9))*-1</f>
        <v>0</v>
      </c>
      <c r="M9" s="35">
        <v>38</v>
      </c>
    </row>
    <row r="10" ht="12" customHeight="1" spans="1:13">
      <c r="A10" s="163" t="s">
        <v>27</v>
      </c>
      <c r="B10" s="34">
        <f>SUM(C10:F10)</f>
        <v>12</v>
      </c>
      <c r="C10" s="34">
        <v>2</v>
      </c>
      <c r="D10" s="34">
        <v>3</v>
      </c>
      <c r="E10" s="34">
        <v>4</v>
      </c>
      <c r="F10" s="34">
        <v>3</v>
      </c>
      <c r="G10" s="35">
        <v>4</v>
      </c>
      <c r="H10" s="35">
        <v>0.5</v>
      </c>
      <c r="I10" s="35">
        <v>5</v>
      </c>
      <c r="J10" s="35">
        <v>2.5</v>
      </c>
      <c r="K10" s="35">
        <f>SUM(G10:J10)</f>
        <v>12</v>
      </c>
      <c r="L10" s="35">
        <f>+((C10+D10+E10+F10)-(G10+H10+I10+J10))*-1</f>
        <v>0</v>
      </c>
      <c r="M10" s="35">
        <v>4</v>
      </c>
    </row>
    <row r="11" spans="1:13">
      <c r="A11" s="163" t="s">
        <v>28</v>
      </c>
      <c r="B11" s="34">
        <f>SUM(C11:F11)</f>
        <v>12</v>
      </c>
      <c r="C11" s="34">
        <v>3</v>
      </c>
      <c r="D11" s="34">
        <v>2</v>
      </c>
      <c r="E11" s="34">
        <v>4</v>
      </c>
      <c r="F11" s="34">
        <v>3</v>
      </c>
      <c r="G11" s="35">
        <v>1.5</v>
      </c>
      <c r="H11" s="35">
        <v>2</v>
      </c>
      <c r="I11" s="35">
        <v>5</v>
      </c>
      <c r="J11" s="35">
        <v>4</v>
      </c>
      <c r="K11" s="35">
        <f>SUM(G11:J11)</f>
        <v>12.5</v>
      </c>
      <c r="L11" s="35">
        <f>+((C11+D11+E11+F11)-(G11+H11+I11+J11))*-1</f>
        <v>0.5</v>
      </c>
      <c r="M11" s="35">
        <v>74</v>
      </c>
    </row>
    <row r="12" spans="1:13">
      <c r="A12" s="163" t="s">
        <v>29</v>
      </c>
      <c r="B12" s="34">
        <f>SUM(C12:F12)</f>
        <v>10</v>
      </c>
      <c r="C12" s="34">
        <v>2</v>
      </c>
      <c r="D12" s="34">
        <v>2</v>
      </c>
      <c r="E12" s="34">
        <v>3</v>
      </c>
      <c r="F12" s="34">
        <v>3</v>
      </c>
      <c r="G12" s="35">
        <v>1</v>
      </c>
      <c r="H12" s="35"/>
      <c r="I12" s="35">
        <v>10</v>
      </c>
      <c r="J12" s="35"/>
      <c r="K12" s="35">
        <f>SUM(G12:J12)</f>
        <v>11</v>
      </c>
      <c r="L12" s="35">
        <f>+((C12+D12+E12+F12)-(G12+H12+I12+J12))*-1</f>
        <v>1</v>
      </c>
      <c r="M12" s="35"/>
    </row>
    <row r="13" spans="1:13">
      <c r="A13" s="163" t="s">
        <v>30</v>
      </c>
      <c r="B13" s="34">
        <f>SUM(C13:F13)</f>
        <v>16</v>
      </c>
      <c r="C13" s="34">
        <v>4</v>
      </c>
      <c r="D13" s="34">
        <v>4</v>
      </c>
      <c r="E13" s="34">
        <v>4</v>
      </c>
      <c r="F13" s="34">
        <v>4</v>
      </c>
      <c r="G13" s="35"/>
      <c r="H13" s="35">
        <v>6</v>
      </c>
      <c r="I13" s="35">
        <v>2</v>
      </c>
      <c r="J13" s="35">
        <v>9</v>
      </c>
      <c r="K13" s="35">
        <f>SUM(G13:J13)</f>
        <v>17</v>
      </c>
      <c r="L13" s="35">
        <f>+((C13+D13+E13+F13)-(G13+H13+I13+J13))*-1</f>
        <v>1</v>
      </c>
      <c r="M13" s="35"/>
    </row>
    <row r="14" ht="13.5" customHeight="1" spans="1:13">
      <c r="A14" s="163" t="s">
        <v>31</v>
      </c>
      <c r="B14" s="34">
        <f>SUM(C14:F14)</f>
        <v>10</v>
      </c>
      <c r="C14" s="34">
        <v>2</v>
      </c>
      <c r="D14" s="34">
        <v>2</v>
      </c>
      <c r="E14" s="34">
        <v>2</v>
      </c>
      <c r="F14" s="34">
        <v>4</v>
      </c>
      <c r="G14" s="35">
        <v>2</v>
      </c>
      <c r="H14" s="35"/>
      <c r="I14" s="35">
        <v>4</v>
      </c>
      <c r="J14" s="35">
        <v>4</v>
      </c>
      <c r="K14" s="35">
        <f>SUM(G14:J14)</f>
        <v>10</v>
      </c>
      <c r="L14" s="35">
        <f>+((C14+D14+E14+F14)-(G14+H14+I14+J14))*-1</f>
        <v>0</v>
      </c>
      <c r="M14" s="35">
        <v>20</v>
      </c>
    </row>
    <row r="15" ht="12.75" customHeight="1" spans="1:13">
      <c r="A15" s="163" t="s">
        <v>32</v>
      </c>
      <c r="B15" s="34">
        <f>SUM(C15:F15)</f>
        <v>10</v>
      </c>
      <c r="C15" s="34">
        <v>1</v>
      </c>
      <c r="D15" s="34">
        <v>2</v>
      </c>
      <c r="E15" s="34">
        <v>3</v>
      </c>
      <c r="F15" s="34">
        <v>4</v>
      </c>
      <c r="G15" s="35"/>
      <c r="H15" s="35">
        <v>0.5</v>
      </c>
      <c r="I15" s="35"/>
      <c r="J15" s="35">
        <v>4.5</v>
      </c>
      <c r="K15" s="35">
        <f>SUM(G15:J15)</f>
        <v>5</v>
      </c>
      <c r="L15" s="35">
        <f>+((C15+D15+E15+F15)-(G15+H15+I15+J15))*-1</f>
        <v>-5</v>
      </c>
      <c r="M15" s="35">
        <v>32</v>
      </c>
    </row>
    <row r="16" ht="12.75" customHeight="1" spans="1:13">
      <c r="A16" s="163" t="s">
        <v>33</v>
      </c>
      <c r="B16" s="34">
        <f>SUM(C16:F16)</f>
        <v>10</v>
      </c>
      <c r="C16" s="34">
        <v>1</v>
      </c>
      <c r="D16" s="34">
        <v>2</v>
      </c>
      <c r="E16" s="34">
        <v>2</v>
      </c>
      <c r="F16" s="34">
        <v>5</v>
      </c>
      <c r="G16" s="35">
        <v>3.5</v>
      </c>
      <c r="H16" s="35">
        <v>7.5</v>
      </c>
      <c r="I16" s="35"/>
      <c r="J16" s="35">
        <v>1</v>
      </c>
      <c r="K16" s="35">
        <f>SUM(G16:J16)</f>
        <v>12</v>
      </c>
      <c r="L16" s="35">
        <f>+((C16+D16+E16+F16)-(G16+H16+I16+J16))*-1</f>
        <v>2</v>
      </c>
      <c r="M16" s="35"/>
    </row>
    <row r="17" ht="13.5" customHeight="1" spans="1:13">
      <c r="A17" s="163" t="s">
        <v>34</v>
      </c>
      <c r="B17" s="34">
        <f>SUM(C17:F17)</f>
        <v>5</v>
      </c>
      <c r="C17" s="34">
        <v>1</v>
      </c>
      <c r="D17" s="34">
        <v>1</v>
      </c>
      <c r="E17" s="34">
        <v>1</v>
      </c>
      <c r="F17" s="34">
        <v>2</v>
      </c>
      <c r="G17" s="35">
        <v>0.5</v>
      </c>
      <c r="H17" s="35">
        <v>3</v>
      </c>
      <c r="I17" s="35">
        <v>0.5</v>
      </c>
      <c r="J17" s="35">
        <v>1</v>
      </c>
      <c r="K17" s="35">
        <f>SUM(G17:J17)</f>
        <v>5</v>
      </c>
      <c r="L17" s="35">
        <f>+((C17+D17+E17+F17)-(G17+H17+I17+J17))*-1</f>
        <v>0</v>
      </c>
      <c r="M17" s="35">
        <v>8</v>
      </c>
    </row>
    <row r="18" ht="12.75" customHeight="1" spans="1:13">
      <c r="A18" s="163" t="s">
        <v>35</v>
      </c>
      <c r="B18" s="34">
        <f>SUM(C18:F18)</f>
        <v>15</v>
      </c>
      <c r="C18" s="34">
        <v>2</v>
      </c>
      <c r="D18" s="34">
        <v>2</v>
      </c>
      <c r="E18" s="34">
        <v>5</v>
      </c>
      <c r="F18" s="34">
        <v>6</v>
      </c>
      <c r="G18" s="35"/>
      <c r="H18" s="35"/>
      <c r="I18" s="35"/>
      <c r="J18" s="35">
        <v>10.5</v>
      </c>
      <c r="K18" s="35">
        <f>SUM(G18:J18)</f>
        <v>10.5</v>
      </c>
      <c r="L18" s="35">
        <f>+((C18+D18+E18+F18)-(G18+H18+I18+J18))*-1</f>
        <v>-4.5</v>
      </c>
      <c r="M18" s="35"/>
    </row>
    <row r="19" ht="13.5" customHeight="1" spans="1:13">
      <c r="A19" s="163" t="s">
        <v>36</v>
      </c>
      <c r="B19" s="34">
        <f>SUM(C19:F19)</f>
        <v>10</v>
      </c>
      <c r="C19" s="34">
        <v>1</v>
      </c>
      <c r="D19" s="34">
        <v>2</v>
      </c>
      <c r="E19" s="34">
        <v>2</v>
      </c>
      <c r="F19" s="34">
        <v>5</v>
      </c>
      <c r="G19" s="35"/>
      <c r="H19" s="35"/>
      <c r="I19" s="35"/>
      <c r="J19" s="35">
        <v>4</v>
      </c>
      <c r="K19" s="35">
        <f>SUM(G19:J19)</f>
        <v>4</v>
      </c>
      <c r="L19" s="35">
        <f>+((C19+D19+E19+F19)-(G19+H19+I19+J19))*-1</f>
        <v>-6</v>
      </c>
      <c r="M19" s="35">
        <v>17</v>
      </c>
    </row>
    <row r="20" ht="13.5" customHeight="1" spans="1:13">
      <c r="A20" s="163" t="s">
        <v>37</v>
      </c>
      <c r="B20" s="34"/>
      <c r="C20" s="34"/>
      <c r="D20" s="34"/>
      <c r="E20" s="34"/>
      <c r="F20" s="34"/>
      <c r="G20" s="35">
        <v>1</v>
      </c>
      <c r="H20" s="35"/>
      <c r="I20" s="35"/>
      <c r="J20" s="35"/>
      <c r="K20" s="35">
        <f>SUM(G20:J20)</f>
        <v>1</v>
      </c>
      <c r="L20" s="35">
        <f>+((C20+D20+E20+F20)-(G20+H20+I20+J20))*-1</f>
        <v>1</v>
      </c>
      <c r="M20" s="35">
        <v>3</v>
      </c>
    </row>
    <row r="21" ht="13.5" customHeight="1" spans="1:13">
      <c r="A21" s="163" t="s">
        <v>38</v>
      </c>
      <c r="B21" s="34">
        <f>SUM(C21:F21)</f>
        <v>30</v>
      </c>
      <c r="C21" s="34">
        <v>5</v>
      </c>
      <c r="D21" s="34">
        <v>7</v>
      </c>
      <c r="E21" s="34">
        <v>8</v>
      </c>
      <c r="F21" s="34">
        <v>10</v>
      </c>
      <c r="G21" s="38">
        <v>2</v>
      </c>
      <c r="H21" s="35">
        <v>1</v>
      </c>
      <c r="I21" s="35">
        <v>6.5</v>
      </c>
      <c r="J21" s="35">
        <v>17</v>
      </c>
      <c r="K21" s="35">
        <f>SUM(G21:J21)</f>
        <v>26.5</v>
      </c>
      <c r="L21" s="35">
        <f>+((C21+D21+E21+F21)-(G21+H21+I21+J21))*-1</f>
        <v>-3.5</v>
      </c>
      <c r="M21" s="35">
        <v>5</v>
      </c>
    </row>
    <row r="22" ht="12.75" customHeight="1" spans="1:13">
      <c r="A22" s="54" t="s">
        <v>39</v>
      </c>
      <c r="B22" s="147">
        <f>SUM(B8:B21)</f>
        <v>170</v>
      </c>
      <c r="C22" s="147">
        <f>SUM(C8:C21)</f>
        <v>31</v>
      </c>
      <c r="D22" s="147">
        <f t="shared" ref="D22:M22" si="3">SUM(D8:D21)</f>
        <v>35</v>
      </c>
      <c r="E22" s="147">
        <f>SUM(E8:E21)</f>
        <v>48</v>
      </c>
      <c r="F22" s="147">
        <f>SUM(F8:F21)</f>
        <v>56</v>
      </c>
      <c r="G22" s="147">
        <f>SUM(G8:G21)</f>
        <v>26.5</v>
      </c>
      <c r="H22" s="147">
        <f>SUM(H8:H21)</f>
        <v>20.5</v>
      </c>
      <c r="I22" s="147">
        <f>SUM(I8:I21)</f>
        <v>40.5</v>
      </c>
      <c r="J22" s="147">
        <f>SUM(J8:J21)</f>
        <v>59</v>
      </c>
      <c r="K22" s="108">
        <f>SUM(G22:J22)</f>
        <v>146.5</v>
      </c>
      <c r="L22" s="35">
        <f>+((C22+D22+E22+F22)-(G22+H22+I22+J22))*-1</f>
        <v>-23.5</v>
      </c>
      <c r="M22" s="147">
        <f>SUM(M8:M21)</f>
        <v>201</v>
      </c>
    </row>
    <row r="23" ht="14.25" customHeight="1" spans="1:15">
      <c r="A23" s="148" t="s">
        <v>40</v>
      </c>
      <c r="B23" s="149"/>
      <c r="C23" s="23" t="s">
        <v>14</v>
      </c>
      <c r="D23" s="23"/>
      <c r="E23" s="23"/>
      <c r="F23" s="24"/>
      <c r="G23" s="11" t="s">
        <v>15</v>
      </c>
      <c r="H23" s="23"/>
      <c r="I23" s="23"/>
      <c r="J23" s="24"/>
      <c r="K23" s="63"/>
      <c r="L23" s="64"/>
      <c r="M23" s="107"/>
      <c r="N23" s="89"/>
      <c r="O23" s="90"/>
    </row>
    <row r="24" ht="27.75" customHeight="1" spans="1:15">
      <c r="A24" s="25" t="s">
        <v>16</v>
      </c>
      <c r="B24" s="25" t="s">
        <v>17</v>
      </c>
      <c r="C24" s="25" t="s">
        <v>18</v>
      </c>
      <c r="D24" s="25" t="s">
        <v>19</v>
      </c>
      <c r="E24" s="25" t="s">
        <v>20</v>
      </c>
      <c r="F24" s="25" t="s">
        <v>57</v>
      </c>
      <c r="G24" s="25" t="s">
        <v>18</v>
      </c>
      <c r="H24" s="25" t="s">
        <v>19</v>
      </c>
      <c r="I24" s="25" t="s">
        <v>20</v>
      </c>
      <c r="J24" s="25" t="s">
        <v>57</v>
      </c>
      <c r="K24" s="25" t="s">
        <v>22</v>
      </c>
      <c r="L24" s="25" t="s">
        <v>41</v>
      </c>
      <c r="M24" s="47" t="s">
        <v>42</v>
      </c>
      <c r="N24" s="89"/>
      <c r="O24" s="90"/>
    </row>
    <row r="25" ht="12" customHeight="1" spans="1:15">
      <c r="A25" s="163" t="s">
        <v>25</v>
      </c>
      <c r="B25" s="48"/>
      <c r="C25" s="50"/>
      <c r="D25" s="34"/>
      <c r="E25" s="34"/>
      <c r="F25" s="34"/>
      <c r="G25" s="34"/>
      <c r="H25" s="50"/>
      <c r="I25" s="50"/>
      <c r="J25" s="50"/>
      <c r="K25" s="50">
        <f t="shared" ref="K25:K38" si="4">SUM(G25:J25)</f>
        <v>0</v>
      </c>
      <c r="L25" s="50">
        <f>+((C25+D25)-(G25+H25))*-1</f>
        <v>0</v>
      </c>
      <c r="M25" s="91"/>
      <c r="N25" s="89"/>
      <c r="O25" s="90"/>
    </row>
    <row r="26" ht="13.5" customHeight="1" spans="1:15">
      <c r="A26" s="163" t="s">
        <v>26</v>
      </c>
      <c r="B26" s="48">
        <f>SUM(C26:F26)</f>
        <v>8.25</v>
      </c>
      <c r="C26" s="35">
        <v>1.3</v>
      </c>
      <c r="D26" s="34">
        <v>2.1</v>
      </c>
      <c r="E26" s="34">
        <v>2.1</v>
      </c>
      <c r="F26" s="34">
        <v>2.75</v>
      </c>
      <c r="G26" s="129">
        <f>(8000+3000+20700+64300+27280+36300)/100000</f>
        <v>1.5958</v>
      </c>
      <c r="H26" s="130">
        <f>(31200+49000+91400+48800+15400)/100000</f>
        <v>2.358</v>
      </c>
      <c r="I26" s="50">
        <f>(32000+8200+7380+51200+27000)/100000</f>
        <v>1.2578</v>
      </c>
      <c r="J26" s="134">
        <f>(39600+15300+47600+42900+28600+48600+75100)/100000</f>
        <v>2.977</v>
      </c>
      <c r="K26" s="50">
        <f>SUM(G26:J26)</f>
        <v>8.1886</v>
      </c>
      <c r="L26" s="50">
        <f>+((C26+D26+E26+F26)-(G26+H26+I26+J26))*-1</f>
        <v>-0.061399999999999</v>
      </c>
      <c r="M26" s="91">
        <f>+K26/B26</f>
        <v>0.992557575757576</v>
      </c>
      <c r="N26" s="92"/>
      <c r="O26" s="93"/>
    </row>
    <row r="27" ht="13.5" customHeight="1" spans="1:15">
      <c r="A27" s="163" t="s">
        <v>27</v>
      </c>
      <c r="B27" s="48">
        <f t="shared" ref="B27:B39" si="5">SUM(C27:F27)</f>
        <v>5.5</v>
      </c>
      <c r="C27" s="34">
        <v>0.6</v>
      </c>
      <c r="D27" s="34">
        <v>1.45</v>
      </c>
      <c r="E27" s="34">
        <v>1.25</v>
      </c>
      <c r="F27" s="34">
        <v>2.2</v>
      </c>
      <c r="G27" s="129">
        <f>(3800+6700+11100+13700+15300+25645+29200)/100000</f>
        <v>1.05445</v>
      </c>
      <c r="H27" s="50">
        <f>(16340+35800+16300+15600+12700)/100000</f>
        <v>0.9674</v>
      </c>
      <c r="I27" s="50">
        <f>(13700+11800+9400+17400+31500)/100000</f>
        <v>0.838</v>
      </c>
      <c r="J27" s="134">
        <f>(23800+16600+14200+56500+23000+33700+12700+11400)/100000</f>
        <v>1.919</v>
      </c>
      <c r="K27" s="50">
        <f>SUM(G27:J27)</f>
        <v>4.77885</v>
      </c>
      <c r="L27" s="50">
        <f t="shared" ref="L27:L39" si="6">+((C27+D27+E27+F27)-(G27+H27+I27+J27))*-1</f>
        <v>-0.72115</v>
      </c>
      <c r="M27" s="91">
        <f t="shared" ref="M27:M39" si="7">+K27/B27</f>
        <v>0.868881818181818</v>
      </c>
      <c r="N27" s="92"/>
      <c r="O27" s="93"/>
    </row>
    <row r="28" ht="12.75" customHeight="1" spans="1:15">
      <c r="A28" s="163" t="s">
        <v>28</v>
      </c>
      <c r="B28" s="48">
        <f>SUM(C28:F28)</f>
        <v>13.5</v>
      </c>
      <c r="C28" s="34">
        <v>2.25</v>
      </c>
      <c r="D28" s="34">
        <v>3.6</v>
      </c>
      <c r="E28" s="34">
        <v>3.2</v>
      </c>
      <c r="F28" s="34">
        <v>4.45</v>
      </c>
      <c r="G28" s="129">
        <f>(30100+33350+32170+41400+70500+38850+36000)/100000</f>
        <v>2.8237</v>
      </c>
      <c r="H28" s="140">
        <f>(51948+42950+69600+68450+27950)/100000</f>
        <v>2.60898</v>
      </c>
      <c r="I28" s="50">
        <f>(119470+36150+33450+66950+52350+53600)/100000</f>
        <v>3.6197</v>
      </c>
      <c r="J28" s="134">
        <f>(23250+31350+43550+91250+52250+46700+41700+64360)/100000</f>
        <v>3.9441</v>
      </c>
      <c r="K28" s="50">
        <f>SUM(G28:J28)</f>
        <v>12.99648</v>
      </c>
      <c r="L28" s="50">
        <f>+((C28+D28+E28+F28)-(G28+H28+I28+J28))*-1</f>
        <v>-0.50352</v>
      </c>
      <c r="M28" s="91">
        <f>+K28/B28</f>
        <v>0.962702222222222</v>
      </c>
      <c r="N28" s="92"/>
      <c r="O28" s="93"/>
    </row>
    <row r="29" ht="13.5" customHeight="1" spans="1:15">
      <c r="A29" s="163" t="s">
        <v>29</v>
      </c>
      <c r="B29" s="48">
        <f>SUM(C29:F29)</f>
        <v>1.6</v>
      </c>
      <c r="C29" s="34">
        <v>0.25</v>
      </c>
      <c r="D29" s="34">
        <v>0.5</v>
      </c>
      <c r="E29" s="34">
        <v>0.35</v>
      </c>
      <c r="F29" s="34">
        <v>0.5</v>
      </c>
      <c r="G29" s="129">
        <f>(12000+4075+8000)/100000</f>
        <v>0.24075</v>
      </c>
      <c r="H29" s="50">
        <f>(15400+4400+5080+4400)/100000</f>
        <v>0.2928</v>
      </c>
      <c r="I29" s="50">
        <f>(14000+28100)/100000</f>
        <v>0.421</v>
      </c>
      <c r="J29" s="134">
        <f>(16800+36800+4400+15200+3000)/100000</f>
        <v>0.762</v>
      </c>
      <c r="K29" s="50">
        <f>SUM(G29:J29)</f>
        <v>1.71655</v>
      </c>
      <c r="L29" s="50">
        <f>+((C29+D29+E29+F29)-(G29+H29+I29+J29))*-1</f>
        <v>0.11655</v>
      </c>
      <c r="M29" s="91">
        <f>+K29/B29</f>
        <v>1.07284375</v>
      </c>
      <c r="N29" s="92"/>
      <c r="O29" s="93"/>
    </row>
    <row r="30" ht="12.75" customHeight="1" spans="1:15">
      <c r="A30" s="163" t="s">
        <v>30</v>
      </c>
      <c r="B30" s="48">
        <f>SUM(C30:F30)</f>
        <v>5.25</v>
      </c>
      <c r="C30" s="35">
        <v>1</v>
      </c>
      <c r="D30" s="52">
        <v>1</v>
      </c>
      <c r="E30" s="52">
        <v>1.25</v>
      </c>
      <c r="F30" s="52">
        <v>2</v>
      </c>
      <c r="G30" s="129">
        <f>(16940+4000+20000+17936+12500+21400)/100000</f>
        <v>0.92776</v>
      </c>
      <c r="H30" s="50">
        <f>(34670+26400+4400)/100000</f>
        <v>0.6547</v>
      </c>
      <c r="I30" s="50">
        <f>(19800+32500+56500)/100000</f>
        <v>1.088</v>
      </c>
      <c r="J30" s="134">
        <f>(50000+73000+22000+28600)/100000</f>
        <v>1.736</v>
      </c>
      <c r="K30" s="50">
        <f>SUM(G30:J30)</f>
        <v>4.40646</v>
      </c>
      <c r="L30" s="50">
        <f>+((C30+D30+E30+F30)-(G30+H30+I30+J30))*-1</f>
        <v>-0.84354</v>
      </c>
      <c r="M30" s="91">
        <f>+K30/B30</f>
        <v>0.839325714285714</v>
      </c>
      <c r="N30" s="94"/>
      <c r="O30" s="95"/>
    </row>
    <row r="31" spans="1:15">
      <c r="A31" s="163" t="s">
        <v>31</v>
      </c>
      <c r="B31" s="48">
        <f>SUM(C31:F31)</f>
        <v>5.9</v>
      </c>
      <c r="C31" s="35">
        <v>1.3</v>
      </c>
      <c r="D31" s="52">
        <v>1.6</v>
      </c>
      <c r="E31" s="52">
        <v>1.35</v>
      </c>
      <c r="F31" s="52">
        <v>1.65</v>
      </c>
      <c r="G31" s="129">
        <f>(16200+25435+19671+19100+9200+18600+24700)/100000</f>
        <v>1.32906</v>
      </c>
      <c r="H31" s="50">
        <f>(24500+22600+19300+19600+21100)/100000</f>
        <v>1.071</v>
      </c>
      <c r="I31" s="50">
        <f>(26250+13800+21900+18200+20900+30500)/100000</f>
        <v>1.3155</v>
      </c>
      <c r="J31" s="134">
        <f>(22100+19400+20900+33000+19300+32800+28100+30100)/100000</f>
        <v>2.057</v>
      </c>
      <c r="K31" s="50">
        <f>SUM(G31:J31)</f>
        <v>5.77256</v>
      </c>
      <c r="L31" s="50">
        <f>+((C31+D31+E31+F31)-(G31+H31+I31+J31))*-1</f>
        <v>-0.12744</v>
      </c>
      <c r="M31" s="91">
        <f>+K31/B31</f>
        <v>0.9784</v>
      </c>
      <c r="N31" s="92"/>
      <c r="O31" s="93"/>
    </row>
    <row r="32" ht="12.75" customHeight="1" spans="1:15">
      <c r="A32" s="163" t="s">
        <v>32</v>
      </c>
      <c r="B32" s="48">
        <f>SUM(C32:F32)</f>
        <v>6</v>
      </c>
      <c r="C32" s="35">
        <v>1.3</v>
      </c>
      <c r="D32" s="52">
        <v>1.3</v>
      </c>
      <c r="E32" s="52">
        <v>1.25</v>
      </c>
      <c r="F32" s="52">
        <v>2.15</v>
      </c>
      <c r="G32" s="129">
        <f>(20300+16300+26300+29700+17800+21300+28500)/100000</f>
        <v>1.602</v>
      </c>
      <c r="H32" s="50">
        <f>(21350+15500+21800+39750+25700)/100000</f>
        <v>1.241</v>
      </c>
      <c r="I32" s="50">
        <f>(27100+20950+14700+27600+40150+19950)/100000</f>
        <v>1.5045</v>
      </c>
      <c r="J32" s="134">
        <f>(13300+28650+34400+23600+19650+42250+41550+30000)/100000</f>
        <v>2.334</v>
      </c>
      <c r="K32" s="50">
        <f>SUM(G32:J32)</f>
        <v>6.6815</v>
      </c>
      <c r="L32" s="50">
        <f>+((C32+D32+E32+F32)-(G32+H32+I32+J32))*-1</f>
        <v>0.6815</v>
      </c>
      <c r="M32" s="91">
        <f>+K32/B32</f>
        <v>1.11358333333333</v>
      </c>
      <c r="N32" s="92"/>
      <c r="O32" s="93"/>
    </row>
    <row r="33" ht="12.75" customHeight="1" spans="1:15">
      <c r="A33" s="163" t="s">
        <v>51</v>
      </c>
      <c r="B33" s="48">
        <f>SUM(C33:F33)</f>
        <v>5.25</v>
      </c>
      <c r="C33" s="35">
        <v>1</v>
      </c>
      <c r="D33" s="52">
        <v>1.45</v>
      </c>
      <c r="E33" s="52">
        <v>1.25</v>
      </c>
      <c r="F33" s="52">
        <v>1.55</v>
      </c>
      <c r="G33" s="129">
        <f>(11800+24000+15095+13000+9200+17300+19750)/100000</f>
        <v>1.10145</v>
      </c>
      <c r="H33" s="50">
        <f>(12100+6300+16650+16750+18796)/100000</f>
        <v>0.70596</v>
      </c>
      <c r="I33" s="50">
        <f>(16900+14700+17650+8800+18000+14150)/100000</f>
        <v>0.902</v>
      </c>
      <c r="J33" s="134">
        <f>(11300+14600+24800+18500+19700+12800+15400+41300)/100000</f>
        <v>1.584</v>
      </c>
      <c r="K33" s="50">
        <f>SUM(G33:J33)</f>
        <v>4.29341</v>
      </c>
      <c r="L33" s="50">
        <f>+((C33+D33+E33+F33)-(G33+H33+I33+J33))*-1</f>
        <v>-0.95659</v>
      </c>
      <c r="M33" s="91">
        <f>+K33/B33</f>
        <v>0.817792380952381</v>
      </c>
      <c r="N33" s="92"/>
      <c r="O33" s="93"/>
    </row>
    <row r="34" ht="14.25" customHeight="1" spans="1:15">
      <c r="A34" s="163" t="s">
        <v>37</v>
      </c>
      <c r="B34" s="48">
        <f>SUM(C34:F34)</f>
        <v>2</v>
      </c>
      <c r="C34" s="35">
        <v>0.5</v>
      </c>
      <c r="D34" s="52">
        <v>0.5</v>
      </c>
      <c r="E34" s="52">
        <v>0.25</v>
      </c>
      <c r="F34" s="52">
        <v>0.75</v>
      </c>
      <c r="G34" s="129">
        <f>(22600+125000+8800)/100000</f>
        <v>1.564</v>
      </c>
      <c r="H34" s="50">
        <f>(6600+28265)/100000</f>
        <v>0.34865</v>
      </c>
      <c r="I34" s="50">
        <f>(97900)/100000</f>
        <v>0.979</v>
      </c>
      <c r="J34" s="134">
        <f>(8300+4400+2200)/100000</f>
        <v>0.149</v>
      </c>
      <c r="K34" s="50">
        <f>SUM(G34:J34)</f>
        <v>3.04065</v>
      </c>
      <c r="L34" s="50">
        <f>+((C34+D34+E34+F34)-(G34+H34+I34+J34))*-1</f>
        <v>1.04065</v>
      </c>
      <c r="M34" s="91">
        <f>+K34/B34</f>
        <v>1.520325</v>
      </c>
      <c r="N34" s="92"/>
      <c r="O34" s="93"/>
    </row>
    <row r="35" ht="12.75" customHeight="1" spans="1:15">
      <c r="A35" s="163" t="s">
        <v>35</v>
      </c>
      <c r="B35" s="48">
        <f>SUM(C35:F35)</f>
        <v>2.5</v>
      </c>
      <c r="C35" s="35">
        <v>0.5</v>
      </c>
      <c r="D35" s="52">
        <v>0.5</v>
      </c>
      <c r="E35" s="52">
        <v>0.5</v>
      </c>
      <c r="F35" s="52">
        <v>1</v>
      </c>
      <c r="G35" s="129"/>
      <c r="H35" s="50">
        <f>(62000)/100000</f>
        <v>0.62</v>
      </c>
      <c r="I35" s="50"/>
      <c r="J35" s="134">
        <f>(67000+102400)/100000</f>
        <v>1.694</v>
      </c>
      <c r="K35" s="50">
        <f>SUM(G35:J35)</f>
        <v>2.314</v>
      </c>
      <c r="L35" s="50">
        <f>+((C35+D35+E35+F35)-(G35+H35+I35+J35))*-1</f>
        <v>-0.186</v>
      </c>
      <c r="M35" s="91">
        <f>+K35/B35</f>
        <v>0.9256</v>
      </c>
      <c r="N35" s="92"/>
      <c r="O35" s="93"/>
    </row>
    <row r="36" ht="12.75" customHeight="1" spans="1:15">
      <c r="A36" s="163" t="s">
        <v>33</v>
      </c>
      <c r="B36" s="48">
        <f>SUM(C36:F36)</f>
        <v>0</v>
      </c>
      <c r="C36" s="35"/>
      <c r="D36" s="164"/>
      <c r="E36" s="164"/>
      <c r="F36" s="164"/>
      <c r="G36" s="165"/>
      <c r="H36" s="50"/>
      <c r="I36" s="50"/>
      <c r="J36" s="134"/>
      <c r="K36" s="50">
        <f>SUM(G36:J36)</f>
        <v>0</v>
      </c>
      <c r="L36" s="50">
        <f>+((C36+D36+E36+F36)-(G36+H36+I36+J36))*-1</f>
        <v>0</v>
      </c>
      <c r="M36" s="91" t="e">
        <f>+K36/B36</f>
        <v>#DIV/0!</v>
      </c>
      <c r="N36" s="92"/>
      <c r="O36" s="93"/>
    </row>
    <row r="37" ht="12" customHeight="1" spans="1:15">
      <c r="A37" s="163" t="s">
        <v>34</v>
      </c>
      <c r="B37" s="48">
        <f>SUM(C37:F37)</f>
        <v>3</v>
      </c>
      <c r="C37" s="35">
        <v>0.4</v>
      </c>
      <c r="D37" s="164">
        <v>0.7</v>
      </c>
      <c r="E37" s="164">
        <v>0.75</v>
      </c>
      <c r="F37" s="164">
        <v>1.15</v>
      </c>
      <c r="G37" s="165">
        <f>(20700+11100+7700+9700+10300+15000+14100)/100000</f>
        <v>0.886</v>
      </c>
      <c r="H37" s="50">
        <f>(9600+18800+9600+9500+19500)/100000</f>
        <v>0.67</v>
      </c>
      <c r="I37" s="50">
        <f>(20600+7600+13500+7100+14800+14000)/100000</f>
        <v>0.776</v>
      </c>
      <c r="J37" s="134">
        <f>(15600+15400+20100+45600+8500+17100+10500+16400)/100000</f>
        <v>1.492</v>
      </c>
      <c r="K37" s="50">
        <f>SUM(G37:J37)</f>
        <v>3.824</v>
      </c>
      <c r="L37" s="50">
        <f>+((C37+D37+E37+F37)-(G37+H37+I37+J37))*-1</f>
        <v>0.824</v>
      </c>
      <c r="M37" s="91">
        <f>+K37/B37</f>
        <v>1.27466666666667</v>
      </c>
      <c r="N37" s="92"/>
      <c r="O37" s="93"/>
    </row>
    <row r="38" ht="13.5" customHeight="1" spans="1:15">
      <c r="A38" s="163" t="s">
        <v>38</v>
      </c>
      <c r="B38" s="48">
        <f>SUM(C38:F38)</f>
        <v>10.5</v>
      </c>
      <c r="C38" s="35">
        <v>1.55</v>
      </c>
      <c r="D38" s="52">
        <v>2.5</v>
      </c>
      <c r="E38" s="52">
        <v>3</v>
      </c>
      <c r="F38" s="52">
        <v>3.45</v>
      </c>
      <c r="G38" s="129">
        <f>(44800+26410+13384+17600+85600+26400+64150+7900)/100000</f>
        <v>2.86244</v>
      </c>
      <c r="H38" s="50">
        <f>(16910+57800+81300+58550)/100000</f>
        <v>2.1456</v>
      </c>
      <c r="I38" s="50">
        <f>(118600+9990+3800+7450+156035+66460+70400)/100000</f>
        <v>4.32735</v>
      </c>
      <c r="J38" s="134">
        <f>(45333+24500+79560+62335+67520+4630+64388+21300)/100000</f>
        <v>3.69566</v>
      </c>
      <c r="K38" s="50">
        <f>SUM(G38:J38)</f>
        <v>13.03105</v>
      </c>
      <c r="L38" s="50">
        <f>+((C38+D38+E38+F38)-(G38+H38+I38+J38))*-1</f>
        <v>2.53105</v>
      </c>
      <c r="M38" s="91">
        <f>+K38/B38</f>
        <v>1.24105238095238</v>
      </c>
      <c r="N38" s="92"/>
      <c r="O38" s="93"/>
    </row>
    <row r="39" ht="13.5" customHeight="1" spans="1:15">
      <c r="A39" s="54" t="s">
        <v>44</v>
      </c>
      <c r="B39" s="48">
        <f>SUM(C39:F39)</f>
        <v>69.25</v>
      </c>
      <c r="C39" s="35">
        <f>SUM(C26:C38)</f>
        <v>11.95</v>
      </c>
      <c r="D39" s="48">
        <f t="shared" ref="D39:G39" si="8">SUM(D26:D38)</f>
        <v>17.2</v>
      </c>
      <c r="E39" s="48">
        <f>SUM(E26:E38)</f>
        <v>16.5</v>
      </c>
      <c r="F39" s="48">
        <f>SUM(F26:F38)</f>
        <v>23.6</v>
      </c>
      <c r="G39" s="131">
        <f>SUM(G26:G38)</f>
        <v>15.98741</v>
      </c>
      <c r="H39" s="50">
        <f>SUM(H25:H38)</f>
        <v>13.68409</v>
      </c>
      <c r="I39" s="50">
        <f t="shared" ref="I39:J39" si="9">SUM(I25:I38)</f>
        <v>17.02885</v>
      </c>
      <c r="J39" s="134">
        <f>SUM(J25:J38)</f>
        <v>24.34376</v>
      </c>
      <c r="K39" s="135">
        <f>SUM(K26:K38)</f>
        <v>71.04411</v>
      </c>
      <c r="L39" s="135">
        <f>+((C39+D39+E39+F39)-(G39+H39+I39+J39))*-1</f>
        <v>1.79410999999999</v>
      </c>
      <c r="M39" s="154">
        <f>+K39/B39</f>
        <v>1.02590772563177</v>
      </c>
      <c r="N39" s="92"/>
      <c r="O39" s="93"/>
    </row>
    <row r="40" spans="1:15">
      <c r="A40" s="55"/>
      <c r="B40" s="56"/>
      <c r="C40" s="57"/>
      <c r="D40" s="57"/>
      <c r="N40" s="94"/>
      <c r="O40" s="95"/>
    </row>
    <row r="41" spans="14:15">
      <c r="N41" s="92"/>
      <c r="O41" s="93"/>
    </row>
    <row r="42" spans="14:15">
      <c r="N42" s="92"/>
      <c r="O42" s="93"/>
    </row>
    <row r="43" spans="14:15">
      <c r="N43" s="92"/>
      <c r="O43" s="93"/>
    </row>
    <row r="44" spans="14:15">
      <c r="N44" s="92"/>
      <c r="O44" s="93"/>
    </row>
    <row r="45" spans="14:15">
      <c r="N45" s="92"/>
      <c r="O45" s="93"/>
    </row>
    <row r="46" spans="14:15">
      <c r="N46" s="92"/>
      <c r="O46" s="93"/>
    </row>
    <row r="47" spans="14:15">
      <c r="N47" s="92"/>
      <c r="O47" s="93"/>
    </row>
    <row r="48" spans="14:15">
      <c r="N48" s="92"/>
      <c r="O48" s="93"/>
    </row>
    <row r="49" spans="14:15">
      <c r="N49" s="92"/>
      <c r="O49" s="93"/>
    </row>
    <row r="50" spans="14:15">
      <c r="N50" s="94"/>
      <c r="O50" s="95"/>
    </row>
    <row r="51" spans="14:15">
      <c r="N51" s="92"/>
      <c r="O51" s="93"/>
    </row>
    <row r="52" spans="14:15">
      <c r="N52" s="92"/>
      <c r="O52" s="93"/>
    </row>
    <row r="53" spans="14:15">
      <c r="N53" s="92"/>
      <c r="O53" s="93"/>
    </row>
    <row r="54" spans="14:15">
      <c r="N54" s="92"/>
      <c r="O54" s="93"/>
    </row>
    <row r="55" spans="14:15">
      <c r="N55" s="92"/>
      <c r="O55" s="93"/>
    </row>
    <row r="56" spans="14:15">
      <c r="N56" s="92"/>
      <c r="O56" s="93"/>
    </row>
    <row r="57" spans="14:15">
      <c r="N57" s="92"/>
      <c r="O57" s="93"/>
    </row>
    <row r="58" spans="14:15">
      <c r="N58" s="94"/>
      <c r="O58" s="95"/>
    </row>
    <row r="59" spans="14:15">
      <c r="N59" s="92"/>
      <c r="O59" s="93"/>
    </row>
    <row r="60" spans="14:15">
      <c r="N60" s="92"/>
      <c r="O60" s="93"/>
    </row>
    <row r="61" spans="14:15">
      <c r="N61" s="92"/>
      <c r="O61" s="93"/>
    </row>
    <row r="62" spans="14:15">
      <c r="N62" s="92"/>
      <c r="O62" s="93"/>
    </row>
    <row r="63" spans="14:15">
      <c r="N63" s="92"/>
      <c r="O63" s="93"/>
    </row>
    <row r="64" spans="14:15">
      <c r="N64" s="92"/>
      <c r="O64" s="93"/>
    </row>
    <row r="65" spans="14:15">
      <c r="N65" s="92"/>
      <c r="O65" s="93"/>
    </row>
    <row r="66" spans="14:15">
      <c r="N66" s="92"/>
      <c r="O66" s="96"/>
    </row>
  </sheetData>
  <mergeCells count="6">
    <mergeCell ref="B1:M1"/>
    <mergeCell ref="D5:F5"/>
    <mergeCell ref="C6:F6"/>
    <mergeCell ref="G6:J6"/>
    <mergeCell ref="C23:F23"/>
    <mergeCell ref="G23:J23"/>
  </mergeCells>
  <pageMargins left="0.699305555555556" right="0.699305555555556" top="0.349305555555556" bottom="0.329861111111111" header="0.3" footer="0.3"/>
  <pageSetup paperSize="9" scale="95" orientation="landscape" verticalDpi="180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71"/>
  <sheetViews>
    <sheetView workbookViewId="0">
      <selection activeCell="O4" sqref="O4"/>
    </sheetView>
  </sheetViews>
  <sheetFormatPr defaultColWidth="9" defaultRowHeight="15"/>
  <cols>
    <col min="1" max="1" width="17.4285714285714" style="1" customWidth="1"/>
    <col min="2" max="2" width="9" style="2" customWidth="1"/>
    <col min="3" max="3" width="8.42857142857143" style="1" customWidth="1"/>
    <col min="4" max="4" width="8.57142857142857" style="1" customWidth="1"/>
    <col min="5" max="5" width="8.28571428571429" style="1" customWidth="1"/>
    <col min="6" max="6" width="8.71428571428571" style="1" customWidth="1"/>
    <col min="7" max="7" width="8.28571428571429" style="1" customWidth="1"/>
    <col min="8" max="8" width="8.85714285714286" style="1" customWidth="1"/>
    <col min="9" max="9" width="10.1428571428571" style="1" customWidth="1"/>
    <col min="10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ht="13.5" customHeight="1" spans="1:13">
      <c r="A1" s="3" t="s">
        <v>309</v>
      </c>
      <c r="B1" s="4" t="s">
        <v>310</v>
      </c>
      <c r="C1" s="5"/>
      <c r="D1" s="5"/>
      <c r="E1" s="5"/>
      <c r="F1" s="5"/>
      <c r="G1" s="5"/>
      <c r="H1" s="5"/>
      <c r="I1" s="5"/>
      <c r="J1" s="5"/>
      <c r="K1" s="5"/>
      <c r="L1" s="5"/>
      <c r="M1" s="58"/>
    </row>
    <row r="2" spans="1:13">
      <c r="A2" s="6" t="s">
        <v>311</v>
      </c>
      <c r="B2" s="7">
        <f>+K26</f>
        <v>67</v>
      </c>
      <c r="C2" s="8"/>
      <c r="D2" s="8"/>
      <c r="E2" s="8"/>
      <c r="F2" s="8"/>
      <c r="G2" s="9"/>
      <c r="H2" s="10"/>
      <c r="I2" s="59"/>
      <c r="J2" s="10"/>
      <c r="K2" s="10"/>
      <c r="L2" s="10"/>
      <c r="M2" s="104"/>
    </row>
    <row r="3" ht="12" customHeight="1" spans="1:13">
      <c r="A3" s="6" t="s">
        <v>312</v>
      </c>
      <c r="B3" s="7">
        <f>+M26</f>
        <v>167</v>
      </c>
      <c r="C3" s="8"/>
      <c r="D3" s="8"/>
      <c r="E3" s="8"/>
      <c r="F3" s="8"/>
      <c r="G3" s="9"/>
      <c r="H3" s="10"/>
      <c r="I3" s="10"/>
      <c r="J3" s="10"/>
      <c r="K3" s="10"/>
      <c r="L3" s="61"/>
      <c r="M3" s="105"/>
    </row>
    <row r="4" spans="1:13">
      <c r="A4" s="6" t="s">
        <v>313</v>
      </c>
      <c r="B4" s="11"/>
      <c r="C4" s="12"/>
      <c r="D4" s="13" t="s">
        <v>314</v>
      </c>
      <c r="E4" s="12"/>
      <c r="F4" s="12"/>
      <c r="G4" s="14" t="s">
        <v>78</v>
      </c>
      <c r="H4" s="15"/>
      <c r="I4" s="62" t="s">
        <v>7</v>
      </c>
      <c r="J4" s="13">
        <f>+K44</f>
        <v>115.63413</v>
      </c>
      <c r="K4" s="12" t="s">
        <v>8</v>
      </c>
      <c r="L4" s="12" t="s">
        <v>315</v>
      </c>
      <c r="M4" s="106"/>
    </row>
    <row r="5" spans="1:13">
      <c r="A5" s="16" t="s">
        <v>10</v>
      </c>
      <c r="B5" s="17" t="s">
        <v>316</v>
      </c>
      <c r="C5" s="18" t="s">
        <v>55</v>
      </c>
      <c r="D5" s="19">
        <v>8670000</v>
      </c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2.5" customHeight="1" spans="1:13">
      <c r="A7" s="25" t="s">
        <v>16</v>
      </c>
      <c r="B7" s="25" t="s">
        <v>317</v>
      </c>
      <c r="C7" s="25" t="s">
        <v>152</v>
      </c>
      <c r="D7" s="25" t="s">
        <v>153</v>
      </c>
      <c r="E7" s="25" t="s">
        <v>123</v>
      </c>
      <c r="F7" s="25" t="s">
        <v>106</v>
      </c>
      <c r="G7" s="25" t="s">
        <v>152</v>
      </c>
      <c r="H7" s="25" t="s">
        <v>154</v>
      </c>
      <c r="I7" s="25" t="s">
        <v>155</v>
      </c>
      <c r="J7" s="25" t="s">
        <v>107</v>
      </c>
      <c r="K7" s="25" t="s">
        <v>22</v>
      </c>
      <c r="L7" s="25" t="s">
        <v>23</v>
      </c>
      <c r="M7" s="25" t="s">
        <v>318</v>
      </c>
    </row>
    <row r="8" ht="16.5" customHeight="1" spans="1:13">
      <c r="A8" s="112" t="s">
        <v>298</v>
      </c>
      <c r="B8" s="33">
        <f>SUM(C8:F8)</f>
        <v>4</v>
      </c>
      <c r="C8" s="33">
        <v>1</v>
      </c>
      <c r="D8" s="33">
        <v>1</v>
      </c>
      <c r="E8" s="33">
        <v>1</v>
      </c>
      <c r="F8" s="33">
        <v>1</v>
      </c>
      <c r="G8" s="33"/>
      <c r="H8" s="33"/>
      <c r="I8" s="33">
        <v>1</v>
      </c>
      <c r="J8" s="33"/>
      <c r="K8" s="48">
        <f>SUM(G8:J8)</f>
        <v>1</v>
      </c>
      <c r="L8" s="48">
        <f>+((C8+D8+E8+F8)-(G8+H8+I8+J8))*-1</f>
        <v>-3</v>
      </c>
      <c r="M8" s="113">
        <v>7</v>
      </c>
    </row>
    <row r="9" spans="1:13">
      <c r="A9" s="29" t="s">
        <v>26</v>
      </c>
      <c r="B9" s="33">
        <f t="shared" ref="B9:B26" si="0">SUM(C9:F9)</f>
        <v>12</v>
      </c>
      <c r="C9" s="34">
        <v>3</v>
      </c>
      <c r="D9" s="34">
        <v>3</v>
      </c>
      <c r="E9" s="34">
        <v>3</v>
      </c>
      <c r="F9" s="33">
        <v>3</v>
      </c>
      <c r="G9" s="48"/>
      <c r="H9" s="48">
        <v>1</v>
      </c>
      <c r="I9" s="48">
        <v>1</v>
      </c>
      <c r="J9" s="48">
        <v>8</v>
      </c>
      <c r="K9" s="48">
        <f t="shared" ref="K9:K26" si="1">SUM(G9:J9)</f>
        <v>10</v>
      </c>
      <c r="L9" s="48">
        <f t="shared" ref="L9:L26" si="2">+((C9+D9+E9+F9)-(G9+H9+I9+J9))*-1</f>
        <v>-2</v>
      </c>
      <c r="M9" s="78">
        <v>22</v>
      </c>
    </row>
    <row r="10" spans="1:13">
      <c r="A10" s="29" t="s">
        <v>286</v>
      </c>
      <c r="B10" s="33">
        <f>SUM(C10:F10)</f>
        <v>12</v>
      </c>
      <c r="C10" s="34">
        <v>3</v>
      </c>
      <c r="D10" s="34">
        <v>3</v>
      </c>
      <c r="E10" s="34">
        <v>3</v>
      </c>
      <c r="F10" s="33">
        <v>3</v>
      </c>
      <c r="G10" s="48">
        <v>1</v>
      </c>
      <c r="H10" s="48">
        <v>1</v>
      </c>
      <c r="I10" s="48">
        <v>6</v>
      </c>
      <c r="J10" s="48">
        <v>4</v>
      </c>
      <c r="K10" s="48">
        <f>SUM(G10:J10)</f>
        <v>12</v>
      </c>
      <c r="L10" s="48">
        <f>+((C10+D10+E10+F10)-(G10+H10+I10+J10))*-1</f>
        <v>0</v>
      </c>
      <c r="M10" s="78">
        <v>30.5</v>
      </c>
    </row>
    <row r="11" spans="1:17">
      <c r="A11" s="29" t="s">
        <v>299</v>
      </c>
      <c r="B11" s="33">
        <f>SUM(C11:F11)</f>
        <v>6</v>
      </c>
      <c r="C11" s="34">
        <v>2</v>
      </c>
      <c r="D11" s="34">
        <v>2</v>
      </c>
      <c r="E11" s="34">
        <v>1</v>
      </c>
      <c r="F11" s="33">
        <v>1</v>
      </c>
      <c r="G11" s="48">
        <v>1</v>
      </c>
      <c r="H11" s="48">
        <v>1</v>
      </c>
      <c r="I11" s="48">
        <v>2</v>
      </c>
      <c r="J11" s="48"/>
      <c r="K11" s="48">
        <f>SUM(G11:J11)</f>
        <v>4</v>
      </c>
      <c r="L11" s="48">
        <f>+((C11+D11+E11+F11)-(G11+H11+I11+J11))*-1</f>
        <v>-2</v>
      </c>
      <c r="M11" s="78">
        <v>7.5</v>
      </c>
      <c r="Q11"/>
    </row>
    <row r="12" spans="1:13">
      <c r="A12" s="29" t="s">
        <v>300</v>
      </c>
      <c r="B12" s="33">
        <f>SUM(C12:F12)</f>
        <v>10</v>
      </c>
      <c r="C12" s="34">
        <v>3</v>
      </c>
      <c r="D12" s="34">
        <v>3</v>
      </c>
      <c r="E12" s="34">
        <v>2</v>
      </c>
      <c r="F12" s="33">
        <v>2</v>
      </c>
      <c r="G12" s="48"/>
      <c r="H12" s="48"/>
      <c r="I12" s="48">
        <v>1</v>
      </c>
      <c r="J12" s="48">
        <v>1</v>
      </c>
      <c r="K12" s="48">
        <f>SUM(G12:J12)</f>
        <v>2</v>
      </c>
      <c r="L12" s="48">
        <f>+((C12+D12+E12+F12)-(G12+H12+I12+J12))*-1</f>
        <v>-8</v>
      </c>
      <c r="M12" s="48">
        <v>3</v>
      </c>
    </row>
    <row r="13" ht="15.75" customHeight="1" spans="1:13">
      <c r="A13" s="29" t="s">
        <v>301</v>
      </c>
      <c r="B13" s="33">
        <f>SUM(C13:F13)</f>
        <v>0</v>
      </c>
      <c r="C13" s="34"/>
      <c r="D13" s="34"/>
      <c r="E13" s="34"/>
      <c r="F13" s="33"/>
      <c r="G13" s="48"/>
      <c r="H13" s="48"/>
      <c r="I13" s="48"/>
      <c r="J13" s="48"/>
      <c r="K13" s="48">
        <f>SUM(G13:J13)</f>
        <v>0</v>
      </c>
      <c r="L13" s="48">
        <f>+((C13+D13+E13+F13)-(G13+H13+I13+J13))*-1</f>
        <v>0</v>
      </c>
      <c r="M13" s="48"/>
    </row>
    <row r="14" spans="1:13">
      <c r="A14" s="29" t="s">
        <v>302</v>
      </c>
      <c r="B14" s="33">
        <f>SUM(C14:F14)</f>
        <v>6</v>
      </c>
      <c r="C14" s="34">
        <v>1</v>
      </c>
      <c r="D14" s="34">
        <v>1</v>
      </c>
      <c r="E14" s="34">
        <v>2</v>
      </c>
      <c r="F14" s="33">
        <v>2</v>
      </c>
      <c r="G14" s="48">
        <v>1</v>
      </c>
      <c r="H14" s="48">
        <v>1</v>
      </c>
      <c r="I14" s="48">
        <v>1</v>
      </c>
      <c r="J14" s="48">
        <v>3</v>
      </c>
      <c r="K14" s="48">
        <f>SUM(G14:J14)</f>
        <v>6</v>
      </c>
      <c r="L14" s="48">
        <f>+((C14+D14+E14+F14)-(G14+H14+I14+J14))*-1</f>
        <v>0</v>
      </c>
      <c r="M14" s="78">
        <v>4.5</v>
      </c>
    </row>
    <row r="15" spans="1:13">
      <c r="A15" s="29" t="s">
        <v>303</v>
      </c>
      <c r="B15" s="33">
        <f>SUM(C15:F15)</f>
        <v>0</v>
      </c>
      <c r="C15" s="34">
        <v>0</v>
      </c>
      <c r="D15" s="34">
        <v>0</v>
      </c>
      <c r="E15" s="34">
        <v>0</v>
      </c>
      <c r="F15" s="33">
        <v>0</v>
      </c>
      <c r="G15" s="48"/>
      <c r="H15" s="48"/>
      <c r="I15" s="48"/>
      <c r="J15" s="48"/>
      <c r="K15" s="48">
        <f>SUM(G15:J15)</f>
        <v>0</v>
      </c>
      <c r="L15" s="48">
        <f>+((C15+D15+E15+F15)-(G15+H15+I15+J15))*-1</f>
        <v>0</v>
      </c>
      <c r="M15" s="48"/>
    </row>
    <row r="16" spans="1:13">
      <c r="A16" s="114" t="s">
        <v>304</v>
      </c>
      <c r="B16" s="33">
        <f>SUM(C16:F16)</f>
        <v>6</v>
      </c>
      <c r="C16" s="34">
        <v>1</v>
      </c>
      <c r="D16" s="34">
        <v>1</v>
      </c>
      <c r="E16" s="34">
        <v>2</v>
      </c>
      <c r="F16" s="34">
        <v>2</v>
      </c>
      <c r="G16" s="48"/>
      <c r="H16" s="48"/>
      <c r="I16" s="48">
        <v>1</v>
      </c>
      <c r="J16" s="48">
        <v>5</v>
      </c>
      <c r="K16" s="48">
        <f>SUM(G16:J16)</f>
        <v>6</v>
      </c>
      <c r="L16" s="48">
        <f>+((C16+D16+E16+F16)-(G16+H16+I16+J16))*-1</f>
        <v>0</v>
      </c>
      <c r="M16" s="48">
        <v>12.5</v>
      </c>
    </row>
    <row r="17" spans="1:13">
      <c r="A17" s="114" t="s">
        <v>305</v>
      </c>
      <c r="B17" s="33">
        <f>SUM(C17:F17)</f>
        <v>6</v>
      </c>
      <c r="C17" s="34">
        <v>1</v>
      </c>
      <c r="D17" s="34">
        <v>1</v>
      </c>
      <c r="E17" s="34">
        <v>2</v>
      </c>
      <c r="F17" s="34">
        <v>2</v>
      </c>
      <c r="G17" s="48"/>
      <c r="H17" s="48">
        <v>1</v>
      </c>
      <c r="I17" s="48">
        <v>1</v>
      </c>
      <c r="J17" s="48">
        <v>2</v>
      </c>
      <c r="K17" s="48">
        <f>SUM(G17:J17)</f>
        <v>4</v>
      </c>
      <c r="L17" s="48">
        <f>+((C17+D17+E17+F17)-(G17+H17+I17+J17))*-1</f>
        <v>-2</v>
      </c>
      <c r="M17" s="48">
        <v>6</v>
      </c>
    </row>
    <row r="18" spans="1:13">
      <c r="A18" s="114" t="s">
        <v>291</v>
      </c>
      <c r="B18" s="33">
        <f>SUM(C18:F18)</f>
        <v>0</v>
      </c>
      <c r="C18" s="34">
        <v>0</v>
      </c>
      <c r="D18" s="34">
        <v>0</v>
      </c>
      <c r="E18" s="34">
        <v>0</v>
      </c>
      <c r="F18" s="34">
        <v>0</v>
      </c>
      <c r="G18" s="48"/>
      <c r="H18" s="48"/>
      <c r="I18" s="48"/>
      <c r="J18" s="48">
        <v>2</v>
      </c>
      <c r="K18" s="48">
        <f>SUM(G18:J18)</f>
        <v>2</v>
      </c>
      <c r="L18" s="48">
        <f>+((C18+D18+E18+F18)-(G18+H18+I18+J18))*-1</f>
        <v>2</v>
      </c>
      <c r="M18" s="48">
        <v>2</v>
      </c>
    </row>
    <row r="19" spans="1:13">
      <c r="A19" s="114" t="s">
        <v>306</v>
      </c>
      <c r="B19" s="33">
        <f>SUM(C19:F19)</f>
        <v>0</v>
      </c>
      <c r="C19" s="34">
        <v>0</v>
      </c>
      <c r="D19" s="34">
        <v>0</v>
      </c>
      <c r="E19" s="34">
        <v>0</v>
      </c>
      <c r="F19" s="34">
        <v>0</v>
      </c>
      <c r="G19" s="48"/>
      <c r="H19" s="48"/>
      <c r="I19" s="48"/>
      <c r="J19" s="48"/>
      <c r="K19" s="48">
        <f>SUM(G19:J19)</f>
        <v>0</v>
      </c>
      <c r="L19" s="48">
        <f>+((C19+D19+E19+F19)-(G19+H19+I19+J19))*-1</f>
        <v>0</v>
      </c>
      <c r="M19" s="48"/>
    </row>
    <row r="20" spans="1:13">
      <c r="A20" s="114" t="s">
        <v>307</v>
      </c>
      <c r="B20" s="33">
        <f>SUM(C20:F20)</f>
        <v>0</v>
      </c>
      <c r="C20" s="34">
        <v>0</v>
      </c>
      <c r="D20" s="34">
        <v>0</v>
      </c>
      <c r="E20" s="34">
        <v>0</v>
      </c>
      <c r="F20" s="34">
        <v>0</v>
      </c>
      <c r="G20" s="48"/>
      <c r="H20" s="48"/>
      <c r="I20" s="48"/>
      <c r="J20" s="48"/>
      <c r="K20" s="48">
        <f>SUM(G20:J20)</f>
        <v>0</v>
      </c>
      <c r="L20" s="48">
        <f>+((C20+D20+E20+F20)-(G20+H20+I20+J20))*-1</f>
        <v>0</v>
      </c>
      <c r="M20" s="48"/>
    </row>
    <row r="21" spans="1:13">
      <c r="A21" s="114" t="s">
        <v>308</v>
      </c>
      <c r="B21" s="33">
        <f>SUM(C21:F21)</f>
        <v>6</v>
      </c>
      <c r="C21" s="34">
        <v>2</v>
      </c>
      <c r="D21" s="34">
        <v>2</v>
      </c>
      <c r="E21" s="34">
        <v>1</v>
      </c>
      <c r="F21" s="34">
        <v>1</v>
      </c>
      <c r="G21" s="48"/>
      <c r="H21" s="48"/>
      <c r="I21" s="48"/>
      <c r="J21" s="48">
        <v>1</v>
      </c>
      <c r="K21" s="48">
        <f>SUM(G21:J21)</f>
        <v>1</v>
      </c>
      <c r="L21" s="48">
        <f>+((C21+D21+E21+F21)-(G21+H21+I21+J21))*-1</f>
        <v>-5</v>
      </c>
      <c r="M21" s="48">
        <v>3</v>
      </c>
    </row>
    <row r="22" spans="1:13">
      <c r="A22" s="114" t="s">
        <v>287</v>
      </c>
      <c r="B22" s="33">
        <f>SUM(C22:F22)</f>
        <v>0</v>
      </c>
      <c r="C22" s="34">
        <v>0</v>
      </c>
      <c r="D22" s="34">
        <v>0</v>
      </c>
      <c r="E22" s="34">
        <v>0</v>
      </c>
      <c r="F22" s="34">
        <v>0</v>
      </c>
      <c r="G22" s="48"/>
      <c r="H22" s="48"/>
      <c r="I22" s="48">
        <v>1</v>
      </c>
      <c r="J22" s="48">
        <v>1</v>
      </c>
      <c r="K22" s="48">
        <f>SUM(G22:J22)</f>
        <v>2</v>
      </c>
      <c r="L22" s="48">
        <f>+((C22+D22+E22+F22)-(G22+H22+I22+J22))*-1</f>
        <v>2</v>
      </c>
      <c r="M22" s="48">
        <v>2</v>
      </c>
    </row>
    <row r="23" spans="1:13">
      <c r="A23" s="114" t="s">
        <v>266</v>
      </c>
      <c r="B23" s="33">
        <f>SUM(C23:F23)</f>
        <v>0</v>
      </c>
      <c r="C23" s="34">
        <v>0</v>
      </c>
      <c r="D23" s="34">
        <v>0</v>
      </c>
      <c r="E23" s="34">
        <v>0</v>
      </c>
      <c r="F23" s="34">
        <v>0</v>
      </c>
      <c r="G23" s="48"/>
      <c r="H23" s="48"/>
      <c r="I23" s="48"/>
      <c r="J23" s="48"/>
      <c r="K23" s="48">
        <f>SUM(G23:J23)</f>
        <v>0</v>
      </c>
      <c r="L23" s="48">
        <f>+((C23+D23+E23+F23)-(G23+H23+I23+J23))*-1</f>
        <v>0</v>
      </c>
      <c r="M23" s="48"/>
    </row>
    <row r="24" spans="1:13">
      <c r="A24" s="115" t="s">
        <v>268</v>
      </c>
      <c r="B24" s="33">
        <f>SUM(C24:F24)</f>
        <v>5</v>
      </c>
      <c r="C24" s="34">
        <v>2</v>
      </c>
      <c r="D24" s="34">
        <v>1</v>
      </c>
      <c r="E24" s="34">
        <v>1</v>
      </c>
      <c r="F24" s="34">
        <v>1</v>
      </c>
      <c r="G24" s="34">
        <v>7</v>
      </c>
      <c r="H24" s="35">
        <v>0</v>
      </c>
      <c r="I24" s="35">
        <v>2</v>
      </c>
      <c r="J24" s="35">
        <v>2</v>
      </c>
      <c r="K24" s="48">
        <f>SUM(G24:J24)</f>
        <v>11</v>
      </c>
      <c r="L24" s="48">
        <f>+((C24+D24+E24+F24)-(G24+H24+I24+J24))*-1</f>
        <v>6</v>
      </c>
      <c r="M24" s="108">
        <v>21.5</v>
      </c>
    </row>
    <row r="25" spans="1:13">
      <c r="A25" s="116" t="s">
        <v>269</v>
      </c>
      <c r="B25" s="33">
        <f>SUM(C25:F25)</f>
        <v>5</v>
      </c>
      <c r="C25" s="37">
        <v>1</v>
      </c>
      <c r="D25" s="37">
        <v>1</v>
      </c>
      <c r="E25" s="37">
        <v>1</v>
      </c>
      <c r="F25" s="37">
        <v>2</v>
      </c>
      <c r="G25" s="38">
        <v>3</v>
      </c>
      <c r="H25" s="39">
        <v>1</v>
      </c>
      <c r="I25" s="39"/>
      <c r="J25" s="39">
        <v>2</v>
      </c>
      <c r="K25" s="48">
        <f>SUM(G25:J25)</f>
        <v>6</v>
      </c>
      <c r="L25" s="48">
        <f>+((C25+D25+E25+F25)-(G25+H25+I25+J25))*-1</f>
        <v>1</v>
      </c>
      <c r="M25" s="109">
        <v>45.5</v>
      </c>
    </row>
    <row r="26" spans="1:13">
      <c r="A26" s="117" t="s">
        <v>161</v>
      </c>
      <c r="B26" s="33">
        <f>SUM(C26:F26)</f>
        <v>78</v>
      </c>
      <c r="C26" s="41">
        <f t="shared" ref="C26:F26" si="3">SUM(C8:C25)</f>
        <v>20</v>
      </c>
      <c r="D26" s="41">
        <f>SUM(D8:D25)</f>
        <v>19</v>
      </c>
      <c r="E26" s="41">
        <f>SUM(E8:E25)</f>
        <v>19</v>
      </c>
      <c r="F26" s="41">
        <f>SUM(F8:F25)</f>
        <v>20</v>
      </c>
      <c r="G26" s="41">
        <f t="shared" ref="G26:J26" si="4">SUM(G9:G25)</f>
        <v>13</v>
      </c>
      <c r="H26" s="41">
        <f>SUM(H9:H25)</f>
        <v>6</v>
      </c>
      <c r="I26" s="41">
        <f>SUM(I8:I25)</f>
        <v>17</v>
      </c>
      <c r="J26" s="41">
        <f>SUM(J9:J25)</f>
        <v>31</v>
      </c>
      <c r="K26" s="48">
        <f>SUM(G26:J26)</f>
        <v>67</v>
      </c>
      <c r="L26" s="48">
        <f>+((C26+D26+E26+F26)-(G26+H26+I26+J26))*-1</f>
        <v>-11</v>
      </c>
      <c r="M26" s="110">
        <v>167</v>
      </c>
    </row>
    <row r="27" spans="1:15">
      <c r="A27" s="42" t="s">
        <v>40</v>
      </c>
      <c r="B27" s="43"/>
      <c r="C27" s="44" t="s">
        <v>14</v>
      </c>
      <c r="D27" s="45"/>
      <c r="E27" s="45"/>
      <c r="F27" s="46"/>
      <c r="G27" s="44"/>
      <c r="H27" s="45"/>
      <c r="I27" s="45"/>
      <c r="J27" s="46"/>
      <c r="K27" s="83"/>
      <c r="L27" s="84"/>
      <c r="M27" s="84"/>
      <c r="N27" s="111"/>
      <c r="O27" s="90"/>
    </row>
    <row r="28" ht="25.5" spans="1:15">
      <c r="A28" s="47" t="s">
        <v>16</v>
      </c>
      <c r="B28" s="47" t="s">
        <v>17</v>
      </c>
      <c r="C28" s="47" t="s">
        <v>152</v>
      </c>
      <c r="D28" s="47" t="s">
        <v>154</v>
      </c>
      <c r="E28" s="47" t="s">
        <v>123</v>
      </c>
      <c r="F28" s="47" t="s">
        <v>107</v>
      </c>
      <c r="G28" s="47" t="s">
        <v>152</v>
      </c>
      <c r="H28" s="47" t="s">
        <v>278</v>
      </c>
      <c r="I28" s="47" t="s">
        <v>123</v>
      </c>
      <c r="J28" s="47" t="s">
        <v>107</v>
      </c>
      <c r="K28" s="47" t="s">
        <v>22</v>
      </c>
      <c r="L28" s="47" t="s">
        <v>41</v>
      </c>
      <c r="M28" s="47" t="s">
        <v>42</v>
      </c>
      <c r="N28" s="89"/>
      <c r="O28" s="90"/>
    </row>
    <row r="29" spans="1:15">
      <c r="A29" s="29" t="s">
        <v>265</v>
      </c>
      <c r="B29" s="48">
        <f>SUM(C29:F29)</f>
        <v>14</v>
      </c>
      <c r="C29" s="35">
        <v>2.5</v>
      </c>
      <c r="D29" s="34">
        <v>4</v>
      </c>
      <c r="E29" s="34">
        <v>3.5</v>
      </c>
      <c r="F29" s="34">
        <v>4</v>
      </c>
      <c r="G29" s="49">
        <f>+(31500+81870+48100+71720+10700+30000)/100000</f>
        <v>2.7389</v>
      </c>
      <c r="H29" s="50">
        <f>+(13500+31840+47060+61560+200+54800+109600)/100000</f>
        <v>3.1856</v>
      </c>
      <c r="I29" s="50">
        <f>+(63000+14000+61660+43400+1000+39540+18200+10050+5000)/100000</f>
        <v>2.5585</v>
      </c>
      <c r="J29" s="76">
        <f>+(146515+32040+71390+12200+57650+26550+34240)/100000</f>
        <v>3.80585</v>
      </c>
      <c r="K29" s="76">
        <f>SUM(G29:J29)</f>
        <v>12.28885</v>
      </c>
      <c r="L29" s="50">
        <f>+((C29+D29+E29)-(G29+H29+I29))*-1</f>
        <v>-1.517</v>
      </c>
      <c r="M29" s="91">
        <f>+K29/B29</f>
        <v>0.877775</v>
      </c>
      <c r="N29" s="89"/>
      <c r="O29" s="90"/>
    </row>
    <row r="30" spans="1:15">
      <c r="A30" s="29" t="s">
        <v>222</v>
      </c>
      <c r="B30" s="48">
        <f t="shared" ref="B30:B36" si="5">SUM(C30:F30)</f>
        <v>10.5</v>
      </c>
      <c r="C30" s="35">
        <v>2.5</v>
      </c>
      <c r="D30" s="34">
        <v>3</v>
      </c>
      <c r="E30" s="34">
        <v>3</v>
      </c>
      <c r="F30" s="34">
        <v>2</v>
      </c>
      <c r="G30" s="49">
        <f>+(14760+45100+34100+26800)/100000</f>
        <v>1.2076</v>
      </c>
      <c r="H30" s="50">
        <f>+(1800+42200+27700+17000+11100+33100)/100000</f>
        <v>1.329</v>
      </c>
      <c r="I30" s="50">
        <f>+(22000+17400+45600+5400+17500+1600+44550)/100000</f>
        <v>1.5405</v>
      </c>
      <c r="J30" s="50">
        <f>+(47600+2400+57900+36500+19700+10900+16900+30600)/100000</f>
        <v>2.225</v>
      </c>
      <c r="K30" s="76">
        <f t="shared" ref="K30:K44" si="6">SUM(G30:J30)</f>
        <v>6.3021</v>
      </c>
      <c r="L30" s="50">
        <f t="shared" ref="L30:L44" si="7">+((C30+D30+E30)-(G30+H30+I30))*-1</f>
        <v>-4.4229</v>
      </c>
      <c r="M30" s="91">
        <f t="shared" ref="M30:M44" si="8">+K30/B30</f>
        <v>0.6002</v>
      </c>
      <c r="N30" s="89"/>
      <c r="O30" s="90"/>
    </row>
    <row r="31" spans="1:15">
      <c r="A31" s="29" t="s">
        <v>266</v>
      </c>
      <c r="B31" s="48">
        <f>SUM(C31:F31)</f>
        <v>10.5</v>
      </c>
      <c r="C31" s="35">
        <v>2</v>
      </c>
      <c r="D31" s="34">
        <v>3</v>
      </c>
      <c r="E31" s="34">
        <v>2.5</v>
      </c>
      <c r="F31" s="34">
        <v>3</v>
      </c>
      <c r="G31" s="49">
        <f>+(32300+16300+13600+13700+35300+7000)/100000</f>
        <v>1.182</v>
      </c>
      <c r="H31" s="50">
        <f>+(10300+21500+14000+19000+41400+10700)/100000</f>
        <v>1.169</v>
      </c>
      <c r="I31" s="50">
        <f>+(12100+20600+18700+22700+19500+18910)/100000</f>
        <v>1.1251</v>
      </c>
      <c r="J31" s="50">
        <f>+(54970+19300+12100+22600+13600+11200+85500)/100000</f>
        <v>2.1927</v>
      </c>
      <c r="K31" s="76">
        <f>SUM(G31:J31)</f>
        <v>5.6688</v>
      </c>
      <c r="L31" s="50">
        <f>+((C31+D31+E31)-(G31+H31+I31))*-1</f>
        <v>-4.0239</v>
      </c>
      <c r="M31" s="91">
        <f>+K31/B31</f>
        <v>0.539885714285714</v>
      </c>
      <c r="N31" s="92"/>
      <c r="O31" s="93"/>
    </row>
    <row r="32" spans="1:15">
      <c r="A32" s="29" t="s">
        <v>209</v>
      </c>
      <c r="B32" s="48">
        <f>SUM(C32:F32)</f>
        <v>11.5</v>
      </c>
      <c r="C32" s="34">
        <v>2.5</v>
      </c>
      <c r="D32" s="34">
        <v>3</v>
      </c>
      <c r="E32" s="34">
        <v>2.5</v>
      </c>
      <c r="F32" s="34">
        <v>3.5</v>
      </c>
      <c r="G32" s="49">
        <f>+(21700+35500+20600+17500+50570+33800+17600+4400)/100000</f>
        <v>2.0167</v>
      </c>
      <c r="H32" s="50">
        <f>+(17500+58200+26700+23400+2360+11200+10100+4400+43500+40200+4400)/100000</f>
        <v>2.4196</v>
      </c>
      <c r="I32" s="50">
        <f>+(5800+35500+48950+14260+48000+20300+62200)/100000</f>
        <v>2.3501</v>
      </c>
      <c r="J32" s="50">
        <f>+(68700+32000+32900+22000+76760+20800+21400+30600+38000+137600)/100000</f>
        <v>4.8076</v>
      </c>
      <c r="K32" s="76">
        <f>SUM(G32:J32)</f>
        <v>11.594</v>
      </c>
      <c r="L32" s="50">
        <f>+((C32+D32+E32)-(G32+H32+I32))*-1</f>
        <v>-1.2136</v>
      </c>
      <c r="M32" s="91">
        <f>+K32/B32</f>
        <v>1.00817391304348</v>
      </c>
      <c r="N32" s="92"/>
      <c r="O32" s="93"/>
    </row>
    <row r="33" spans="1:15">
      <c r="A33" s="51" t="s">
        <v>293</v>
      </c>
      <c r="B33" s="48">
        <f t="shared" ref="B33:B34" si="9">SUM(C33:F33)</f>
        <v>9</v>
      </c>
      <c r="C33" s="35">
        <v>2</v>
      </c>
      <c r="D33" s="34">
        <v>2.5</v>
      </c>
      <c r="E33" s="34">
        <v>2</v>
      </c>
      <c r="F33" s="34">
        <v>2.5</v>
      </c>
      <c r="G33" s="49">
        <f>+(16900+44000+47287+36900+13200+14800)/100000</f>
        <v>1.73087</v>
      </c>
      <c r="H33" s="50">
        <f>+(26600+69700+10700+62000+53100+28500)/100000</f>
        <v>2.506</v>
      </c>
      <c r="I33" s="50">
        <f>+(50850+68300+73460+22700+5600+45500)/100000</f>
        <v>2.6641</v>
      </c>
      <c r="J33" s="50">
        <f>+(33000+20720+37450+19900+26700+21020+64840)/100000</f>
        <v>2.2363</v>
      </c>
      <c r="K33" s="76">
        <f t="shared" ref="K33:K34" si="10">SUM(G33:J33)</f>
        <v>9.13727</v>
      </c>
      <c r="L33" s="50">
        <f t="shared" ref="L33:L34" si="11">+((C33+D33+E33)-(G33+H33+I33))*-1</f>
        <v>0.400969999999999</v>
      </c>
      <c r="M33" s="91">
        <f t="shared" ref="M33:M34" si="12">+K33/B33</f>
        <v>1.01525222222222</v>
      </c>
      <c r="N33" s="92"/>
      <c r="O33" s="93"/>
    </row>
    <row r="34" spans="1:15">
      <c r="A34" s="51" t="s">
        <v>261</v>
      </c>
      <c r="B34" s="48">
        <f>SUM(C34:F34)</f>
        <v>5</v>
      </c>
      <c r="C34" s="35">
        <v>1.5</v>
      </c>
      <c r="D34" s="34">
        <v>1</v>
      </c>
      <c r="E34" s="34">
        <v>1.5</v>
      </c>
      <c r="F34" s="34">
        <v>1</v>
      </c>
      <c r="G34" s="49">
        <f>+(21900+19000+21800+17000+17200+21200)/100000</f>
        <v>1.181</v>
      </c>
      <c r="H34" s="50">
        <f>+(17200+20100+20500+21400+3000+33550+19000)/100000</f>
        <v>1.3475</v>
      </c>
      <c r="I34" s="50">
        <f>+(24800+19500+19400+19300+23800+19400)/100000</f>
        <v>1.262</v>
      </c>
      <c r="J34" s="50">
        <f>+(25700+12800+17250+29500+20700+19600+22800)/100000</f>
        <v>1.4835</v>
      </c>
      <c r="K34" s="76">
        <f>SUM(G34:J34)</f>
        <v>5.274</v>
      </c>
      <c r="L34" s="50">
        <f>+((C34+D34+E34)-(G34+H34+I34))*-1</f>
        <v>-0.2095</v>
      </c>
      <c r="M34" s="91">
        <f>+K34/B34</f>
        <v>1.0548</v>
      </c>
      <c r="N34" s="92"/>
      <c r="O34" s="93"/>
    </row>
    <row r="35" spans="1:15">
      <c r="A35" s="51" t="s">
        <v>263</v>
      </c>
      <c r="B35" s="48">
        <f>SUM(C35:F35)</f>
        <v>10</v>
      </c>
      <c r="C35" s="35">
        <v>2</v>
      </c>
      <c r="D35" s="52">
        <v>2.5</v>
      </c>
      <c r="E35" s="52">
        <v>3</v>
      </c>
      <c r="F35" s="52">
        <v>2.5</v>
      </c>
      <c r="G35" s="49">
        <f>+(18000+13500+15550+42200+36490+33620+55400)/100000</f>
        <v>2.1476</v>
      </c>
      <c r="H35" s="50">
        <f>+(33900+45300+22100+30450+50700+34100)/100000</f>
        <v>2.1655</v>
      </c>
      <c r="I35" s="50">
        <f>+(65500+24650+29700+34800+19900+26100)/100000</f>
        <v>2.0065</v>
      </c>
      <c r="J35" s="50">
        <f>+(29200+28100+47200+23100+25600+13920+21700)/100000</f>
        <v>1.8882</v>
      </c>
      <c r="K35" s="76">
        <f>SUM(G35:J35)</f>
        <v>8.2078</v>
      </c>
      <c r="L35" s="50">
        <f>+((C35+D35+E35)-(G35+H35+I35))*-1</f>
        <v>-1.1804</v>
      </c>
      <c r="M35" s="91">
        <f>+K35/B35</f>
        <v>0.82078</v>
      </c>
      <c r="N35" s="94"/>
      <c r="O35" s="95"/>
    </row>
    <row r="36" spans="1:15">
      <c r="A36" s="51" t="s">
        <v>271</v>
      </c>
      <c r="B36" s="48">
        <f>SUM(C36:F36)</f>
        <v>7.5</v>
      </c>
      <c r="C36" s="35">
        <v>1.5</v>
      </c>
      <c r="D36" s="52">
        <v>2.5</v>
      </c>
      <c r="E36" s="52">
        <v>1.5</v>
      </c>
      <c r="F36" s="52">
        <v>2</v>
      </c>
      <c r="G36" s="49">
        <f>+(6500+2600+2700+3200+13600+2900)/100000</f>
        <v>0.315</v>
      </c>
      <c r="H36" s="50">
        <f>+(2300+8000+7800+3200+24300+3200)/100000</f>
        <v>0.488</v>
      </c>
      <c r="I36" s="50">
        <f>+(3300+5700+20750+5100+3700)/100000</f>
        <v>0.3855</v>
      </c>
      <c r="J36" s="50">
        <f>+(3600+58900+8300+1900+3500+13300+2600)/100000</f>
        <v>0.921</v>
      </c>
      <c r="K36" s="76">
        <f>SUM(G36:J36)</f>
        <v>2.1095</v>
      </c>
      <c r="L36" s="50">
        <f>+((C36+D36+E36)-(G36+H36+I36))*-1</f>
        <v>-4.3115</v>
      </c>
      <c r="M36" s="91">
        <f>+K36/B36</f>
        <v>0.281266666666667</v>
      </c>
      <c r="N36" s="92"/>
      <c r="O36" s="93"/>
    </row>
    <row r="37" spans="1:15">
      <c r="A37" s="51" t="s">
        <v>262</v>
      </c>
      <c r="B37" s="48">
        <f t="shared" ref="B37:B44" si="13">SUM(C37:F37)</f>
        <v>9</v>
      </c>
      <c r="C37" s="35">
        <v>2</v>
      </c>
      <c r="D37" s="52">
        <v>3</v>
      </c>
      <c r="E37" s="52">
        <v>2</v>
      </c>
      <c r="F37" s="52">
        <v>2</v>
      </c>
      <c r="G37" s="49">
        <f>+(23900+23900+24000+25400+31860+8200)/100000</f>
        <v>1.3726</v>
      </c>
      <c r="H37" s="50">
        <f>+(31800+71900+16700+14600+26800+48750)/100000</f>
        <v>2.1055</v>
      </c>
      <c r="I37" s="50">
        <f>+(26100+40150+34900+55286+48500+35200)/100000</f>
        <v>2.40136</v>
      </c>
      <c r="J37" s="50">
        <f>+(58800+20700+37450+27150+42320+34760+23050)/100000</f>
        <v>2.4423</v>
      </c>
      <c r="K37" s="76">
        <f>SUM(G37:J37)</f>
        <v>8.32176</v>
      </c>
      <c r="L37" s="50">
        <f>+((C37+D37+E37)-(G37+H37+I37))*-1</f>
        <v>-1.12054</v>
      </c>
      <c r="M37" s="91">
        <f>+K37/B37</f>
        <v>0.92464</v>
      </c>
      <c r="N37" s="92"/>
      <c r="O37" s="93"/>
    </row>
    <row r="38" spans="1:15">
      <c r="A38" s="51" t="s">
        <v>172</v>
      </c>
      <c r="B38" s="48">
        <f>SUM(C38:F38)</f>
        <v>11</v>
      </c>
      <c r="C38" s="35">
        <v>3</v>
      </c>
      <c r="D38" s="52">
        <v>3</v>
      </c>
      <c r="E38" s="52">
        <v>3</v>
      </c>
      <c r="F38" s="52">
        <v>2</v>
      </c>
      <c r="G38" s="49">
        <f>+(13500+31300+18700+13000+100000+16700)/100000</f>
        <v>1.932</v>
      </c>
      <c r="H38" s="50">
        <f>+(33920+107700+16200+13400+19300+73800)/100000</f>
        <v>2.6432</v>
      </c>
      <c r="I38" s="50">
        <f>+(32200+19600+85800+36300+14000+17500)/100000</f>
        <v>2.054</v>
      </c>
      <c r="J38" s="50">
        <f>+(54100+13800+13600+38500+37100+135400+45500)/100000</f>
        <v>3.38</v>
      </c>
      <c r="K38" s="76">
        <f>SUM(G38:J38)</f>
        <v>10.0092</v>
      </c>
      <c r="L38" s="50">
        <f>+((C38+D38+E38)-(G38+H38+I38))*-1</f>
        <v>-2.3708</v>
      </c>
      <c r="M38" s="91">
        <f>+K38/B38</f>
        <v>0.909927272727273</v>
      </c>
      <c r="N38" s="92"/>
      <c r="O38" s="93"/>
    </row>
    <row r="39" spans="1:15">
      <c r="A39" s="51" t="s">
        <v>141</v>
      </c>
      <c r="B39" s="48">
        <f>SUM(C39:F39)</f>
        <v>10</v>
      </c>
      <c r="C39" s="35">
        <v>2.5</v>
      </c>
      <c r="D39" s="52">
        <v>3</v>
      </c>
      <c r="E39" s="52">
        <v>2</v>
      </c>
      <c r="F39" s="52">
        <v>2.5</v>
      </c>
      <c r="G39" s="49">
        <f>+(13500+14650+25050+11000+27700+13400)/100000</f>
        <v>1.053</v>
      </c>
      <c r="H39" s="50">
        <f>+(15500+12600+21000+23000+91900+41500)/100000</f>
        <v>2.055</v>
      </c>
      <c r="I39" s="50">
        <f>+(15800+17100+28500+32000+24200+52600)/100000</f>
        <v>1.702</v>
      </c>
      <c r="J39" s="50">
        <f>+(47190+30100+17300+25100+15200+10900+9300)/100000</f>
        <v>1.5509</v>
      </c>
      <c r="K39" s="76">
        <f>SUM(G39:J39)</f>
        <v>6.3609</v>
      </c>
      <c r="L39" s="50">
        <f>+((C39+D39+E39)-(G39+H39+I39))*-1</f>
        <v>-2.69</v>
      </c>
      <c r="M39" s="91">
        <f>+K39/B39</f>
        <v>0.63609</v>
      </c>
      <c r="N39" s="92"/>
      <c r="O39" s="93"/>
    </row>
    <row r="40" spans="1:15">
      <c r="A40" s="51" t="s">
        <v>267</v>
      </c>
      <c r="B40" s="48">
        <f>SUM(C40:F40)</f>
        <v>10.5</v>
      </c>
      <c r="C40" s="35">
        <v>2</v>
      </c>
      <c r="D40" s="52">
        <v>3</v>
      </c>
      <c r="E40" s="52">
        <v>2.5</v>
      </c>
      <c r="F40" s="52">
        <v>3</v>
      </c>
      <c r="G40" s="49">
        <f>+(24800+54000+46600+23300+38200+19500)/100000</f>
        <v>2.064</v>
      </c>
      <c r="H40" s="50">
        <f>+(150160+72360+45800+34121+36600+25750)/100000</f>
        <v>3.64791</v>
      </c>
      <c r="I40" s="50">
        <f>+(24300+37565+57160+31400+32100+25450)/100000</f>
        <v>2.07975</v>
      </c>
      <c r="J40" s="50">
        <f>+(36900+67400+21200+27150+31000+40600+59920)/100000</f>
        <v>2.8417</v>
      </c>
      <c r="K40" s="76">
        <f>SUM(G40:J40)</f>
        <v>10.63336</v>
      </c>
      <c r="L40" s="50">
        <f>+((C40+D40+E40)-(G40+H40+I40))*-1</f>
        <v>0.29166</v>
      </c>
      <c r="M40" s="91">
        <f>+K40/B40</f>
        <v>1.01270095238095</v>
      </c>
      <c r="N40" s="92"/>
      <c r="O40" s="93"/>
    </row>
    <row r="41" spans="1:15">
      <c r="A41" s="53" t="s">
        <v>290</v>
      </c>
      <c r="B41" s="48">
        <f>SUM(C41:F41)</f>
        <v>5.8</v>
      </c>
      <c r="C41" s="35">
        <v>0.6</v>
      </c>
      <c r="D41" s="52">
        <v>0.6</v>
      </c>
      <c r="E41" s="52">
        <v>0.85</v>
      </c>
      <c r="F41" s="52">
        <v>3.75</v>
      </c>
      <c r="G41" s="49">
        <f>+(3200+12400+6400)/100000</f>
        <v>0.22</v>
      </c>
      <c r="H41" s="50">
        <f>+(3200+3200+1200+3000+2200+3200)/100000</f>
        <v>0.16</v>
      </c>
      <c r="I41" s="50">
        <f>+(3200+232200+3400+57200+5400+8600+4400)/100000</f>
        <v>3.144</v>
      </c>
      <c r="J41" s="50">
        <f>+(4400+4400+4400+3200+3400+4800+117600)/100000</f>
        <v>1.422</v>
      </c>
      <c r="K41" s="76">
        <f>SUM(G41:J41)</f>
        <v>4.946</v>
      </c>
      <c r="L41" s="50">
        <f>+((C41+D41+E41)-(G41+H41+I41))*-1</f>
        <v>1.474</v>
      </c>
      <c r="M41" s="91">
        <f>+K41/B41</f>
        <v>0.852758620689655</v>
      </c>
      <c r="N41" s="92"/>
      <c r="O41" s="93"/>
    </row>
    <row r="42" spans="1:15">
      <c r="A42" s="53" t="s">
        <v>35</v>
      </c>
      <c r="B42" s="48">
        <f>SUM(C42:F42)</f>
        <v>3</v>
      </c>
      <c r="C42" s="35">
        <v>0.5</v>
      </c>
      <c r="D42" s="52">
        <v>0.5</v>
      </c>
      <c r="E42" s="52">
        <v>1</v>
      </c>
      <c r="F42" s="52">
        <v>1</v>
      </c>
      <c r="G42" s="49">
        <f>+(42260)/100000</f>
        <v>0.4226</v>
      </c>
      <c r="H42" s="50"/>
      <c r="I42" s="50">
        <f>+(9317)/100000</f>
        <v>0.09317</v>
      </c>
      <c r="J42" s="50">
        <f>+(137500)/100000</f>
        <v>1.375</v>
      </c>
      <c r="K42" s="76">
        <f>SUM(G42:J42)</f>
        <v>1.89077</v>
      </c>
      <c r="L42" s="50">
        <f>+((C42+D42+E42)-(G42+H42+I42))*-1</f>
        <v>-1.48423</v>
      </c>
      <c r="M42" s="91">
        <f>+K42/B42</f>
        <v>0.630256666666667</v>
      </c>
      <c r="N42" s="92"/>
      <c r="O42" s="93"/>
    </row>
    <row r="43" spans="1:15">
      <c r="A43" s="53" t="s">
        <v>38</v>
      </c>
      <c r="B43" s="48">
        <f>SUM(C43:F43)</f>
        <v>22.7</v>
      </c>
      <c r="C43" s="35">
        <v>5</v>
      </c>
      <c r="D43" s="52">
        <v>5</v>
      </c>
      <c r="E43" s="52">
        <v>6</v>
      </c>
      <c r="F43" s="52">
        <v>6.7</v>
      </c>
      <c r="G43" s="49">
        <f>+(25420+48875+6400+47890+2400+11400+48300+18800+4400+29110)/100000</f>
        <v>2.42995</v>
      </c>
      <c r="H43" s="50">
        <f>+(18800+20400+143000+44325+8800+8360+8140+10820+1560)/100000</f>
        <v>2.64205</v>
      </c>
      <c r="I43" s="50">
        <f>+(3960+18800+275195+31020+4200+10555+2000+8800+43175+3000)/100000</f>
        <v>4.00705</v>
      </c>
      <c r="J43" s="50">
        <f>+(22030+47800+8800+26990+129200+8800+710+100+8950+18200+10497+77245+9455+1000+11300)/100000</f>
        <v>3.81077</v>
      </c>
      <c r="K43" s="76">
        <f>SUM(G43:J43)</f>
        <v>12.88982</v>
      </c>
      <c r="L43" s="50">
        <f>+((C43+D43+E43)-(G43+H43+I43))*-1</f>
        <v>-6.92095</v>
      </c>
      <c r="M43" s="91">
        <f>+K43/B43</f>
        <v>0.567833480176211</v>
      </c>
      <c r="N43" s="92"/>
      <c r="O43" s="93"/>
    </row>
    <row r="44" spans="1:15">
      <c r="A44" s="54" t="s">
        <v>44</v>
      </c>
      <c r="B44" s="48">
        <f>SUM(C44:F44)</f>
        <v>150</v>
      </c>
      <c r="C44" s="35">
        <f t="shared" ref="C44:J44" si="14">SUM(C29:C43)</f>
        <v>32.1</v>
      </c>
      <c r="D44" s="48">
        <f>SUM(D29:D43)</f>
        <v>39.6</v>
      </c>
      <c r="E44" s="48">
        <f>SUM(E29:E43)</f>
        <v>36.85</v>
      </c>
      <c r="F44" s="48">
        <f>SUM(F29:F43)</f>
        <v>41.45</v>
      </c>
      <c r="G44" s="49">
        <f>SUM(G29:G43)</f>
        <v>22.01382</v>
      </c>
      <c r="H44" s="50">
        <f>SUM(H29:H43)</f>
        <v>27.86386</v>
      </c>
      <c r="I44" s="50">
        <f>SUM(I29:I43)</f>
        <v>29.37363</v>
      </c>
      <c r="J44" s="50">
        <f>SUM(J29:J43)</f>
        <v>36.38282</v>
      </c>
      <c r="K44" s="76">
        <f>SUM(G44:J44)</f>
        <v>115.63413</v>
      </c>
      <c r="L44" s="50">
        <f>+((C44+D44+E44)-(G44+H44+I44))*-1</f>
        <v>-29.29869</v>
      </c>
      <c r="M44" s="91">
        <f>+K44/B44</f>
        <v>0.7708942</v>
      </c>
      <c r="N44" s="92"/>
      <c r="O44" s="93"/>
    </row>
    <row r="45" spans="1:15">
      <c r="A45" s="55"/>
      <c r="B45" s="56"/>
      <c r="C45" s="57"/>
      <c r="N45" s="94"/>
      <c r="O45" s="95"/>
    </row>
    <row r="46" spans="14:15">
      <c r="N46" s="92"/>
      <c r="O46" s="93"/>
    </row>
    <row r="47" spans="14:15">
      <c r="N47" s="92"/>
      <c r="O47" s="93"/>
    </row>
    <row r="48" spans="2:15">
      <c r="B48" s="1"/>
      <c r="N48" s="92"/>
      <c r="O48" s="93"/>
    </row>
    <row r="49" spans="2:15">
      <c r="B49" s="1"/>
      <c r="N49" s="92"/>
      <c r="O49" s="93"/>
    </row>
    <row r="50" spans="2:15">
      <c r="B50" s="1"/>
      <c r="N50" s="92"/>
      <c r="O50" s="93"/>
    </row>
    <row r="51" spans="2:15">
      <c r="B51" s="1"/>
      <c r="N51" s="92"/>
      <c r="O51" s="93"/>
    </row>
    <row r="52" spans="2:15">
      <c r="B52" s="1"/>
      <c r="N52" s="92"/>
      <c r="O52" s="93"/>
    </row>
    <row r="53" spans="2:15">
      <c r="B53" s="1"/>
      <c r="N53" s="92"/>
      <c r="O53" s="93"/>
    </row>
    <row r="54" spans="2:15">
      <c r="B54" s="1"/>
      <c r="N54" s="92"/>
      <c r="O54" s="93"/>
    </row>
    <row r="55" spans="2:15">
      <c r="B55" s="1"/>
      <c r="N55" s="94"/>
      <c r="O55" s="95"/>
    </row>
    <row r="56" spans="2:15">
      <c r="B56" s="1"/>
      <c r="N56" s="92"/>
      <c r="O56" s="93"/>
    </row>
    <row r="57" spans="2:15">
      <c r="B57" s="1"/>
      <c r="N57" s="92"/>
      <c r="O57" s="93"/>
    </row>
    <row r="58" spans="2:15">
      <c r="B58" s="1"/>
      <c r="N58" s="92"/>
      <c r="O58" s="93"/>
    </row>
    <row r="59" spans="2:15">
      <c r="B59" s="1"/>
      <c r="N59" s="92"/>
      <c r="O59" s="93"/>
    </row>
    <row r="60" spans="2:15">
      <c r="B60" s="1"/>
      <c r="N60" s="92"/>
      <c r="O60" s="93"/>
    </row>
    <row r="61" spans="2:15">
      <c r="B61" s="1"/>
      <c r="N61" s="92"/>
      <c r="O61" s="93"/>
    </row>
    <row r="62" spans="2:15">
      <c r="B62" s="1"/>
      <c r="N62" s="92"/>
      <c r="O62" s="93"/>
    </row>
    <row r="63" spans="2:15">
      <c r="B63" s="1"/>
      <c r="N63" s="94"/>
      <c r="O63" s="95"/>
    </row>
    <row r="64" spans="2:15">
      <c r="B64" s="1"/>
      <c r="N64" s="92"/>
      <c r="O64" s="93"/>
    </row>
    <row r="65" spans="2:15">
      <c r="B65" s="1"/>
      <c r="N65" s="92"/>
      <c r="O65" s="93"/>
    </row>
    <row r="66" spans="2:15">
      <c r="B66" s="1"/>
      <c r="N66" s="92"/>
      <c r="O66" s="93"/>
    </row>
    <row r="67" spans="2:15">
      <c r="B67" s="1"/>
      <c r="N67" s="92"/>
      <c r="O67" s="93"/>
    </row>
    <row r="68" spans="2:15">
      <c r="B68" s="1"/>
      <c r="N68" s="92"/>
      <c r="O68" s="93"/>
    </row>
    <row r="69" spans="2:15">
      <c r="B69" s="1"/>
      <c r="N69" s="92"/>
      <c r="O69" s="93"/>
    </row>
    <row r="70" spans="2:15">
      <c r="B70" s="1"/>
      <c r="N70" s="92"/>
      <c r="O70" s="93"/>
    </row>
    <row r="71" spans="2:15">
      <c r="B71" s="1"/>
      <c r="N71" s="92"/>
      <c r="O71" s="96"/>
    </row>
  </sheetData>
  <mergeCells count="5">
    <mergeCell ref="D5:F5"/>
    <mergeCell ref="C6:F6"/>
    <mergeCell ref="G6:J6"/>
    <mergeCell ref="C27:F27"/>
    <mergeCell ref="G27:J27"/>
  </mergeCells>
  <pageMargins left="0.699305555555556" right="0.699305555555556" top="0.75" bottom="0.75" header="0.3" footer="0.3"/>
  <pageSetup paperSize="1" orientation="portrait" horizontalDpi="150" verticalDpi="150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75"/>
  <sheetViews>
    <sheetView workbookViewId="0">
      <selection activeCell="A1" sqref="A1:M48"/>
    </sheetView>
  </sheetViews>
  <sheetFormatPr defaultColWidth="9" defaultRowHeight="15"/>
  <cols>
    <col min="1" max="1" width="17.4285714285714" style="1" customWidth="1"/>
    <col min="2" max="2" width="9" style="2" customWidth="1"/>
    <col min="3" max="3" width="8.42857142857143" style="1" customWidth="1"/>
    <col min="4" max="4" width="8.57142857142857" style="1" customWidth="1"/>
    <col min="5" max="5" width="8.28571428571429" style="1" customWidth="1"/>
    <col min="6" max="6" width="8.71428571428571" style="1" customWidth="1"/>
    <col min="7" max="7" width="8.28571428571429" style="1" customWidth="1"/>
    <col min="8" max="8" width="8.85714285714286" style="1" customWidth="1"/>
    <col min="9" max="9" width="10.1428571428571" style="1" customWidth="1"/>
    <col min="10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ht="13.5" customHeight="1" spans="1:13">
      <c r="A1" s="3" t="s">
        <v>319</v>
      </c>
      <c r="B1" s="4" t="s">
        <v>320</v>
      </c>
      <c r="C1" s="5"/>
      <c r="D1" s="5"/>
      <c r="E1" s="5"/>
      <c r="F1" s="5"/>
      <c r="G1" s="5"/>
      <c r="H1" s="5"/>
      <c r="I1" s="5"/>
      <c r="J1" s="5"/>
      <c r="K1" s="5"/>
      <c r="L1" s="5"/>
      <c r="M1" s="58"/>
    </row>
    <row r="2" spans="1:13">
      <c r="A2" s="6" t="s">
        <v>311</v>
      </c>
      <c r="B2" s="7">
        <f>+K29</f>
        <v>93</v>
      </c>
      <c r="C2" s="8"/>
      <c r="D2" s="8"/>
      <c r="E2" s="8"/>
      <c r="F2" s="8"/>
      <c r="G2" s="9"/>
      <c r="H2" s="10"/>
      <c r="I2" s="59"/>
      <c r="J2" s="10"/>
      <c r="K2" s="10"/>
      <c r="L2" s="10"/>
      <c r="M2" s="104"/>
    </row>
    <row r="3" ht="12" customHeight="1" spans="1:13">
      <c r="A3" s="6" t="s">
        <v>312</v>
      </c>
      <c r="B3" s="7">
        <f>+M29</f>
        <v>291</v>
      </c>
      <c r="C3" s="8"/>
      <c r="D3" s="8"/>
      <c r="E3" s="8"/>
      <c r="F3" s="8"/>
      <c r="G3" s="9"/>
      <c r="H3" s="10"/>
      <c r="I3" s="10"/>
      <c r="J3" s="10"/>
      <c r="K3" s="10"/>
      <c r="L3" s="61"/>
      <c r="M3" s="105"/>
    </row>
    <row r="4" spans="1:13">
      <c r="A4" s="6" t="s">
        <v>321</v>
      </c>
      <c r="B4" s="11"/>
      <c r="C4" s="12"/>
      <c r="D4" s="13" t="s">
        <v>164</v>
      </c>
      <c r="E4" s="12"/>
      <c r="F4" s="12"/>
      <c r="G4" s="14" t="s">
        <v>78</v>
      </c>
      <c r="H4" s="15"/>
      <c r="I4" s="62" t="s">
        <v>7</v>
      </c>
      <c r="J4" s="13">
        <f>+K48</f>
        <v>113.20635</v>
      </c>
      <c r="K4" s="12" t="s">
        <v>8</v>
      </c>
      <c r="L4" s="12" t="s">
        <v>149</v>
      </c>
      <c r="M4" s="106"/>
    </row>
    <row r="5" spans="1:13">
      <c r="A5" s="16" t="s">
        <v>10</v>
      </c>
      <c r="B5" s="17" t="s">
        <v>322</v>
      </c>
      <c r="C5" s="18" t="s">
        <v>323</v>
      </c>
      <c r="D5" s="19">
        <v>6822500</v>
      </c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2.5" customHeight="1" spans="1:13">
      <c r="A7" s="25" t="s">
        <v>16</v>
      </c>
      <c r="B7" s="25" t="s">
        <v>317</v>
      </c>
      <c r="C7" s="25" t="s">
        <v>152</v>
      </c>
      <c r="D7" s="25" t="s">
        <v>153</v>
      </c>
      <c r="E7" s="25" t="s">
        <v>123</v>
      </c>
      <c r="F7" s="25" t="s">
        <v>130</v>
      </c>
      <c r="G7" s="25" t="s">
        <v>152</v>
      </c>
      <c r="H7" s="25" t="s">
        <v>154</v>
      </c>
      <c r="I7" s="25" t="s">
        <v>155</v>
      </c>
      <c r="J7" s="25" t="s">
        <v>131</v>
      </c>
      <c r="K7" s="25" t="s">
        <v>22</v>
      </c>
      <c r="L7" s="25" t="s">
        <v>23</v>
      </c>
      <c r="M7" s="25" t="s">
        <v>318</v>
      </c>
    </row>
    <row r="8" ht="16.5" customHeight="1" spans="1:13">
      <c r="A8" s="112" t="s">
        <v>298</v>
      </c>
      <c r="B8" s="33">
        <f>SUM(C8:F8)</f>
        <v>4</v>
      </c>
      <c r="C8" s="33">
        <v>1</v>
      </c>
      <c r="D8" s="33">
        <v>1</v>
      </c>
      <c r="E8" s="33">
        <v>1</v>
      </c>
      <c r="F8" s="33">
        <v>1</v>
      </c>
      <c r="G8" s="33"/>
      <c r="H8" s="33"/>
      <c r="I8" s="33"/>
      <c r="J8" s="33">
        <v>1</v>
      </c>
      <c r="K8" s="48">
        <f>SUM(G8:J8)</f>
        <v>1</v>
      </c>
      <c r="L8" s="48">
        <f>+((C8+D8+E8+F8)-(G8+H8+I8+J8))*-1</f>
        <v>-3</v>
      </c>
      <c r="M8" s="113">
        <v>5</v>
      </c>
    </row>
    <row r="9" spans="1:13">
      <c r="A9" s="29" t="s">
        <v>324</v>
      </c>
      <c r="B9" s="33">
        <f t="shared" ref="B9:B29" si="0">SUM(C9:F9)</f>
        <v>12</v>
      </c>
      <c r="C9" s="34">
        <v>3</v>
      </c>
      <c r="D9" s="34">
        <v>3</v>
      </c>
      <c r="E9" s="34">
        <v>3</v>
      </c>
      <c r="F9" s="33">
        <v>3</v>
      </c>
      <c r="G9" s="48">
        <v>5</v>
      </c>
      <c r="H9" s="48">
        <v>1</v>
      </c>
      <c r="I9" s="48">
        <v>2</v>
      </c>
      <c r="J9" s="48">
        <v>4</v>
      </c>
      <c r="K9" s="48">
        <f t="shared" ref="K9:K29" si="1">SUM(G9:J9)</f>
        <v>12</v>
      </c>
      <c r="L9" s="48">
        <f t="shared" ref="L9:L29" si="2">+((C9+D9+E9+F9)-(G9+H9+I9+J9))*-1</f>
        <v>0</v>
      </c>
      <c r="M9" s="78">
        <v>21</v>
      </c>
    </row>
    <row r="10" spans="1:13">
      <c r="A10" s="29" t="s">
        <v>325</v>
      </c>
      <c r="B10" s="33">
        <f>SUM(C10:F10)</f>
        <v>12</v>
      </c>
      <c r="C10" s="34">
        <v>3</v>
      </c>
      <c r="D10" s="34">
        <v>3</v>
      </c>
      <c r="E10" s="34">
        <v>3</v>
      </c>
      <c r="F10" s="33">
        <v>3</v>
      </c>
      <c r="G10" s="48">
        <v>3</v>
      </c>
      <c r="H10" s="48">
        <v>1</v>
      </c>
      <c r="I10" s="48"/>
      <c r="J10" s="48">
        <v>8</v>
      </c>
      <c r="K10" s="48">
        <f>SUM(G10:J10)</f>
        <v>12</v>
      </c>
      <c r="L10" s="48">
        <f>+((C10+D10+E10+F10)-(G10+H10+I10+J10))*-1</f>
        <v>0</v>
      </c>
      <c r="M10" s="78">
        <v>100</v>
      </c>
    </row>
    <row r="11" spans="1:13">
      <c r="A11" s="29" t="s">
        <v>326</v>
      </c>
      <c r="B11" s="33">
        <f>SUM(C11:F11)</f>
        <v>12</v>
      </c>
      <c r="C11" s="34">
        <v>3</v>
      </c>
      <c r="D11" s="34">
        <v>3</v>
      </c>
      <c r="E11" s="34">
        <v>3</v>
      </c>
      <c r="F11" s="33">
        <v>3</v>
      </c>
      <c r="G11" s="48">
        <v>5</v>
      </c>
      <c r="H11" s="48"/>
      <c r="I11" s="48">
        <v>3</v>
      </c>
      <c r="J11" s="48">
        <v>5</v>
      </c>
      <c r="K11" s="48">
        <f>SUM(G11:J11)</f>
        <v>13</v>
      </c>
      <c r="L11" s="48">
        <f>+((C11+D11+E11+F11)-(G11+H11+I11+J11))*-1</f>
        <v>1</v>
      </c>
      <c r="M11" s="78">
        <v>12.5</v>
      </c>
    </row>
    <row r="12" spans="1:13">
      <c r="A12" s="29" t="s">
        <v>300</v>
      </c>
      <c r="B12" s="33">
        <f>SUM(C12:F12)</f>
        <v>10</v>
      </c>
      <c r="C12" s="34">
        <v>3</v>
      </c>
      <c r="D12" s="34">
        <v>3</v>
      </c>
      <c r="E12" s="34">
        <v>2</v>
      </c>
      <c r="F12" s="33">
        <v>2</v>
      </c>
      <c r="G12" s="48">
        <v>5</v>
      </c>
      <c r="H12" s="48"/>
      <c r="I12" s="48"/>
      <c r="J12" s="48">
        <v>5</v>
      </c>
      <c r="K12" s="48">
        <f>SUM(G12:J12)</f>
        <v>10</v>
      </c>
      <c r="L12" s="48">
        <f>+((C12+D12+E12+F12)-(G12+H12+I12+J12))*-1</f>
        <v>0</v>
      </c>
      <c r="M12" s="48">
        <v>21.5</v>
      </c>
    </row>
    <row r="13" spans="1:13">
      <c r="A13" s="29" t="s">
        <v>327</v>
      </c>
      <c r="B13" s="33">
        <f>SUM(C13:F13)</f>
        <v>10</v>
      </c>
      <c r="C13" s="34">
        <v>3</v>
      </c>
      <c r="D13" s="34">
        <v>3</v>
      </c>
      <c r="E13" s="34">
        <v>2</v>
      </c>
      <c r="F13" s="33">
        <v>2</v>
      </c>
      <c r="G13" s="48"/>
      <c r="H13" s="48">
        <v>1</v>
      </c>
      <c r="I13" s="48">
        <v>1</v>
      </c>
      <c r="J13" s="48">
        <v>1</v>
      </c>
      <c r="K13" s="48">
        <f>SUM(G13:J13)</f>
        <v>3</v>
      </c>
      <c r="L13" s="48">
        <f>+((C13+D13+E13+F13)-(G13+H13+I13+J13))*-1</f>
        <v>-7</v>
      </c>
      <c r="M13" s="48">
        <v>4</v>
      </c>
    </row>
    <row r="14" spans="1:13">
      <c r="A14" s="29" t="s">
        <v>328</v>
      </c>
      <c r="B14" s="33">
        <f>SUM(C14:F14)</f>
        <v>10</v>
      </c>
      <c r="C14" s="34">
        <v>3</v>
      </c>
      <c r="D14" s="34">
        <v>3</v>
      </c>
      <c r="E14" s="34">
        <v>2</v>
      </c>
      <c r="F14" s="33">
        <v>2</v>
      </c>
      <c r="G14" s="48">
        <v>2</v>
      </c>
      <c r="H14" s="48"/>
      <c r="I14" s="48">
        <v>1</v>
      </c>
      <c r="J14" s="48"/>
      <c r="K14" s="48">
        <f>SUM(G14:J14)</f>
        <v>3</v>
      </c>
      <c r="L14" s="48">
        <f>+((C14+D14+E14+F14)-(G14+H14+I14+J14))*-1</f>
        <v>-7</v>
      </c>
      <c r="M14" s="48">
        <v>3</v>
      </c>
    </row>
    <row r="15" spans="1:17">
      <c r="A15" s="29" t="s">
        <v>329</v>
      </c>
      <c r="B15" s="33">
        <f>SUM(C15:F15)</f>
        <v>6</v>
      </c>
      <c r="C15" s="34">
        <v>2</v>
      </c>
      <c r="D15" s="34">
        <v>2</v>
      </c>
      <c r="E15" s="34">
        <v>1</v>
      </c>
      <c r="F15" s="33">
        <v>1</v>
      </c>
      <c r="G15" s="48">
        <v>1</v>
      </c>
      <c r="H15" s="48"/>
      <c r="I15" s="48"/>
      <c r="J15" s="48">
        <v>1</v>
      </c>
      <c r="K15" s="48">
        <f>SUM(G15:J15)</f>
        <v>2</v>
      </c>
      <c r="L15" s="48">
        <f>+((C15+D15+E15+F15)-(G15+H15+I15+J15))*-1</f>
        <v>-4</v>
      </c>
      <c r="M15" s="78">
        <v>5</v>
      </c>
      <c r="Q15"/>
    </row>
    <row r="16" spans="1:13">
      <c r="A16" s="29" t="s">
        <v>302</v>
      </c>
      <c r="B16" s="33">
        <f>SUM(C16:F16)</f>
        <v>6</v>
      </c>
      <c r="C16" s="34">
        <v>1</v>
      </c>
      <c r="D16" s="34">
        <v>2</v>
      </c>
      <c r="E16" s="34">
        <v>2</v>
      </c>
      <c r="F16" s="33">
        <v>1</v>
      </c>
      <c r="G16" s="48"/>
      <c r="H16" s="48"/>
      <c r="I16" s="48"/>
      <c r="J16" s="48"/>
      <c r="K16" s="48">
        <f>SUM(G16:J16)</f>
        <v>0</v>
      </c>
      <c r="L16" s="48">
        <f>+((C16+D16+E16+F16)-(G16+H16+I16+J16))*-1</f>
        <v>-6</v>
      </c>
      <c r="M16" s="78"/>
    </row>
    <row r="17" spans="1:13">
      <c r="A17" s="29" t="s">
        <v>304</v>
      </c>
      <c r="B17" s="33">
        <f>SUM(C17:F17)</f>
        <v>6</v>
      </c>
      <c r="C17" s="34">
        <v>2</v>
      </c>
      <c r="D17" s="34">
        <v>2</v>
      </c>
      <c r="E17" s="34">
        <v>1</v>
      </c>
      <c r="F17" s="34">
        <v>1</v>
      </c>
      <c r="G17" s="48">
        <v>1</v>
      </c>
      <c r="H17" s="48"/>
      <c r="I17" s="48">
        <v>2</v>
      </c>
      <c r="J17" s="48">
        <v>1</v>
      </c>
      <c r="K17" s="48">
        <f>SUM(G17:J17)</f>
        <v>4</v>
      </c>
      <c r="L17" s="48">
        <f>+((C17+D17+E17+F17)-(G17+H17+I17+J17))*-1</f>
        <v>-2</v>
      </c>
      <c r="M17" s="48">
        <v>6</v>
      </c>
    </row>
    <row r="18" spans="1:13">
      <c r="A18" s="29" t="s">
        <v>305</v>
      </c>
      <c r="B18" s="33">
        <f>SUM(C18:F18)</f>
        <v>6</v>
      </c>
      <c r="C18" s="34">
        <v>2</v>
      </c>
      <c r="D18" s="34">
        <v>2</v>
      </c>
      <c r="E18" s="34">
        <v>1</v>
      </c>
      <c r="F18" s="34">
        <v>1</v>
      </c>
      <c r="G18" s="48"/>
      <c r="H18" s="48">
        <v>1</v>
      </c>
      <c r="I18" s="48"/>
      <c r="J18" s="48">
        <v>2</v>
      </c>
      <c r="K18" s="48">
        <f>SUM(G18:J18)</f>
        <v>3</v>
      </c>
      <c r="L18" s="48">
        <f>+((C18+D18+E18+F18)-(G18+H18+I18+J18))*-1</f>
        <v>-3</v>
      </c>
      <c r="M18" s="48">
        <v>2</v>
      </c>
    </row>
    <row r="19" spans="1:13">
      <c r="A19" s="29" t="s">
        <v>330</v>
      </c>
      <c r="B19" s="33">
        <f t="shared" ref="B19:B20" si="3">SUM(C19:F19)</f>
        <v>6</v>
      </c>
      <c r="C19" s="34">
        <v>2</v>
      </c>
      <c r="D19" s="34">
        <v>2</v>
      </c>
      <c r="E19" s="34">
        <v>1</v>
      </c>
      <c r="F19" s="34">
        <v>1</v>
      </c>
      <c r="G19" s="48">
        <v>1</v>
      </c>
      <c r="H19" s="48">
        <v>1</v>
      </c>
      <c r="I19" s="48"/>
      <c r="J19" s="48"/>
      <c r="K19" s="48">
        <f>SUM(G19:J19)</f>
        <v>2</v>
      </c>
      <c r="L19" s="48">
        <f>+((C19+D19+E19+F19)-(G19+H19+I19+J19))*-1</f>
        <v>-4</v>
      </c>
      <c r="M19" s="48">
        <v>1</v>
      </c>
    </row>
    <row r="20" spans="1:13">
      <c r="A20" s="31" t="s">
        <v>331</v>
      </c>
      <c r="B20" s="33">
        <f>SUM(C20:F20)</f>
        <v>0</v>
      </c>
      <c r="C20" s="34">
        <v>0</v>
      </c>
      <c r="D20" s="34">
        <v>0</v>
      </c>
      <c r="E20" s="34">
        <v>0</v>
      </c>
      <c r="F20" s="33">
        <v>0</v>
      </c>
      <c r="G20" s="48">
        <v>1</v>
      </c>
      <c r="H20" s="48"/>
      <c r="I20" s="48">
        <v>1</v>
      </c>
      <c r="J20" s="48">
        <v>2</v>
      </c>
      <c r="K20" s="48">
        <f>SUM(G20:J20)</f>
        <v>4</v>
      </c>
      <c r="L20" s="48">
        <f>+((C20+D20+E20+F20)-(G20+H20+I20+J20))*-1</f>
        <v>4</v>
      </c>
      <c r="M20" s="48">
        <v>17</v>
      </c>
    </row>
    <row r="21" spans="1:13">
      <c r="A21" s="31" t="s">
        <v>332</v>
      </c>
      <c r="B21" s="33">
        <f>SUM(C21:F21)</f>
        <v>0</v>
      </c>
      <c r="C21" s="34">
        <v>0</v>
      </c>
      <c r="D21" s="34">
        <v>0</v>
      </c>
      <c r="E21" s="34">
        <v>0</v>
      </c>
      <c r="F21" s="34">
        <v>0</v>
      </c>
      <c r="G21" s="48"/>
      <c r="H21" s="48"/>
      <c r="I21" s="48"/>
      <c r="J21" s="48">
        <v>1</v>
      </c>
      <c r="K21" s="48">
        <f>SUM(G21:J21)</f>
        <v>1</v>
      </c>
      <c r="L21" s="48">
        <f>+((C21+D21+E21+F21)-(G21+H21+I21+J21))*-1</f>
        <v>1</v>
      </c>
      <c r="M21" s="48">
        <v>1</v>
      </c>
    </row>
    <row r="22" spans="1:13">
      <c r="A22" s="31" t="s">
        <v>333</v>
      </c>
      <c r="B22" s="33">
        <f>SUM(C22:F22)</f>
        <v>0</v>
      </c>
      <c r="C22" s="34">
        <v>0</v>
      </c>
      <c r="D22" s="34">
        <v>0</v>
      </c>
      <c r="E22" s="34">
        <v>0</v>
      </c>
      <c r="F22" s="34">
        <v>0</v>
      </c>
      <c r="G22" s="48"/>
      <c r="H22" s="48"/>
      <c r="I22" s="48"/>
      <c r="J22" s="48"/>
      <c r="K22" s="48">
        <f>SUM(G22:J22)</f>
        <v>0</v>
      </c>
      <c r="L22" s="48">
        <f>+((C22+D22+E22+F22)-(G22+H22+I22+J22))*-1</f>
        <v>0</v>
      </c>
      <c r="M22" s="48"/>
    </row>
    <row r="23" spans="1:13">
      <c r="A23" s="31" t="s">
        <v>334</v>
      </c>
      <c r="B23" s="33">
        <f t="shared" ref="B23" si="4">SUM(C23:F23)</f>
        <v>0</v>
      </c>
      <c r="C23" s="34">
        <v>0</v>
      </c>
      <c r="D23" s="34">
        <v>0</v>
      </c>
      <c r="E23" s="34">
        <v>0</v>
      </c>
      <c r="F23" s="34">
        <v>0</v>
      </c>
      <c r="G23" s="48">
        <v>1</v>
      </c>
      <c r="H23" s="48"/>
      <c r="I23" s="48"/>
      <c r="J23" s="48">
        <v>1</v>
      </c>
      <c r="K23" s="48">
        <f>SUM(G23:J23)</f>
        <v>2</v>
      </c>
      <c r="L23" s="48">
        <f>+((C23+D23+E23+F23)-(G23+H23+I23+J23))*-1</f>
        <v>2</v>
      </c>
      <c r="M23" s="48">
        <v>3</v>
      </c>
    </row>
    <row r="24" ht="15.75" customHeight="1" spans="1:13">
      <c r="A24" s="31" t="s">
        <v>335</v>
      </c>
      <c r="B24" s="33">
        <f>SUM(C24:F24)</f>
        <v>0</v>
      </c>
      <c r="C24" s="34">
        <v>0</v>
      </c>
      <c r="D24" s="34">
        <v>0</v>
      </c>
      <c r="E24" s="34">
        <v>0</v>
      </c>
      <c r="F24" s="33">
        <v>0</v>
      </c>
      <c r="G24" s="48"/>
      <c r="H24" s="48"/>
      <c r="I24" s="48"/>
      <c r="J24" s="48"/>
      <c r="K24" s="48">
        <f>SUM(G24:J24)</f>
        <v>0</v>
      </c>
      <c r="L24" s="48">
        <f>+((C24+D24+E24+F24)-(G24+H24+I24+J24))*-1</f>
        <v>0</v>
      </c>
      <c r="M24" s="48"/>
    </row>
    <row r="25" spans="1:13">
      <c r="A25" s="31" t="s">
        <v>336</v>
      </c>
      <c r="B25" s="33">
        <f>SUM(C25:F25)</f>
        <v>0</v>
      </c>
      <c r="C25" s="34">
        <v>0</v>
      </c>
      <c r="D25" s="34">
        <v>0</v>
      </c>
      <c r="E25" s="34">
        <v>0</v>
      </c>
      <c r="F25" s="34">
        <v>0</v>
      </c>
      <c r="G25" s="48"/>
      <c r="H25" s="48"/>
      <c r="I25" s="48"/>
      <c r="J25" s="48">
        <v>1</v>
      </c>
      <c r="K25" s="48">
        <f>SUM(G25:J25)</f>
        <v>1</v>
      </c>
      <c r="L25" s="48">
        <f>+((C25+D25+E25+F25)-(G25+H25+I25+J25))*-1</f>
        <v>1</v>
      </c>
      <c r="M25" s="48">
        <v>0.5</v>
      </c>
    </row>
    <row r="26" spans="1:13">
      <c r="A26" s="31" t="s">
        <v>337</v>
      </c>
      <c r="B26" s="33">
        <f>SUM(C26:F26)</f>
        <v>0</v>
      </c>
      <c r="C26" s="34">
        <v>0</v>
      </c>
      <c r="D26" s="34">
        <v>0</v>
      </c>
      <c r="E26" s="34">
        <v>0</v>
      </c>
      <c r="F26" s="34">
        <v>0</v>
      </c>
      <c r="G26" s="48">
        <v>1</v>
      </c>
      <c r="H26" s="48"/>
      <c r="I26" s="48"/>
      <c r="J26" s="48"/>
      <c r="K26" s="48">
        <f>SUM(G26:J26)</f>
        <v>1</v>
      </c>
      <c r="L26" s="48">
        <f>+((C26+D26+E26+F26)-(G26+H26+I26+J26))*-1</f>
        <v>1</v>
      </c>
      <c r="M26" s="48">
        <v>0.5</v>
      </c>
    </row>
    <row r="27" spans="1:13">
      <c r="A27" s="32" t="s">
        <v>268</v>
      </c>
      <c r="B27" s="33">
        <f>SUM(C27:F27)</f>
        <v>5</v>
      </c>
      <c r="C27" s="34">
        <v>1</v>
      </c>
      <c r="D27" s="34">
        <v>1</v>
      </c>
      <c r="E27" s="34">
        <v>1</v>
      </c>
      <c r="F27" s="34">
        <v>2</v>
      </c>
      <c r="G27" s="34">
        <v>3</v>
      </c>
      <c r="H27" s="35"/>
      <c r="I27" s="35">
        <v>2</v>
      </c>
      <c r="J27" s="35">
        <v>3</v>
      </c>
      <c r="K27" s="48">
        <f>SUM(G27:J27)</f>
        <v>8</v>
      </c>
      <c r="L27" s="48">
        <f>+((C27+D27+E27+F27)-(G27+H27+I27+J27))*-1</f>
        <v>3</v>
      </c>
      <c r="M27" s="108">
        <v>23</v>
      </c>
    </row>
    <row r="28" spans="1:13">
      <c r="A28" s="36" t="s">
        <v>269</v>
      </c>
      <c r="B28" s="33">
        <f>SUM(C28:F28)</f>
        <v>5</v>
      </c>
      <c r="C28" s="37">
        <v>1</v>
      </c>
      <c r="D28" s="37">
        <v>1</v>
      </c>
      <c r="E28" s="37">
        <v>1</v>
      </c>
      <c r="F28" s="37">
        <v>2</v>
      </c>
      <c r="G28" s="38">
        <v>5</v>
      </c>
      <c r="H28" s="39">
        <v>2</v>
      </c>
      <c r="I28" s="39">
        <v>1</v>
      </c>
      <c r="J28" s="39">
        <v>3</v>
      </c>
      <c r="K28" s="48">
        <f>SUM(G28:J28)</f>
        <v>11</v>
      </c>
      <c r="L28" s="48">
        <f>+((C28+D28+E28+F28)-(G28+H28+I28+J28))*-1</f>
        <v>6</v>
      </c>
      <c r="M28" s="109">
        <v>65</v>
      </c>
    </row>
    <row r="29" spans="1:13">
      <c r="A29" s="40" t="s">
        <v>161</v>
      </c>
      <c r="B29" s="33">
        <f>SUM(C29:F29)</f>
        <v>110</v>
      </c>
      <c r="C29" s="41">
        <f t="shared" ref="C29:F29" si="5">SUM(C8:C28)</f>
        <v>30</v>
      </c>
      <c r="D29" s="41">
        <f>SUM(D8:D28)</f>
        <v>31</v>
      </c>
      <c r="E29" s="41">
        <f>SUM(E8:E28)</f>
        <v>24</v>
      </c>
      <c r="F29" s="41">
        <f>SUM(F8:F28)</f>
        <v>25</v>
      </c>
      <c r="G29" s="41">
        <f>SUM(G9:G28)</f>
        <v>34</v>
      </c>
      <c r="H29" s="41">
        <f>SUM(H9:H28)</f>
        <v>7</v>
      </c>
      <c r="I29" s="41">
        <f t="shared" ref="I29:M29" si="6">SUM(I8:I28)</f>
        <v>13</v>
      </c>
      <c r="J29" s="41">
        <f>SUM(J8:J28)</f>
        <v>39</v>
      </c>
      <c r="K29" s="48">
        <f>SUM(G29:J29)</f>
        <v>93</v>
      </c>
      <c r="L29" s="48">
        <f>+((C29+D29+E29+F29)-(G29+H29+I29+J29))*-1</f>
        <v>-17</v>
      </c>
      <c r="M29" s="110">
        <f>SUM(M8:M28)</f>
        <v>291</v>
      </c>
    </row>
    <row r="30" spans="1:15">
      <c r="A30" s="42" t="s">
        <v>40</v>
      </c>
      <c r="B30" s="43"/>
      <c r="C30" s="44" t="s">
        <v>14</v>
      </c>
      <c r="D30" s="45"/>
      <c r="E30" s="45"/>
      <c r="F30" s="46"/>
      <c r="G30" s="44"/>
      <c r="H30" s="45"/>
      <c r="I30" s="45"/>
      <c r="J30" s="46"/>
      <c r="K30" s="83"/>
      <c r="L30" s="84"/>
      <c r="M30" s="84"/>
      <c r="N30" s="111"/>
      <c r="O30" s="90"/>
    </row>
    <row r="31" ht="25.5" spans="1:15">
      <c r="A31" s="47" t="s">
        <v>16</v>
      </c>
      <c r="B31" s="47" t="s">
        <v>17</v>
      </c>
      <c r="C31" s="47" t="s">
        <v>152</v>
      </c>
      <c r="D31" s="47" t="s">
        <v>154</v>
      </c>
      <c r="E31" s="47" t="s">
        <v>123</v>
      </c>
      <c r="F31" s="47" t="s">
        <v>131</v>
      </c>
      <c r="G31" s="47" t="s">
        <v>152</v>
      </c>
      <c r="H31" s="47" t="s">
        <v>278</v>
      </c>
      <c r="I31" s="47" t="s">
        <v>123</v>
      </c>
      <c r="J31" s="47" t="s">
        <v>131</v>
      </c>
      <c r="K31" s="47" t="s">
        <v>22</v>
      </c>
      <c r="L31" s="47" t="s">
        <v>41</v>
      </c>
      <c r="M31" s="47" t="s">
        <v>42</v>
      </c>
      <c r="N31" s="89"/>
      <c r="O31" s="90"/>
    </row>
    <row r="32" spans="1:15">
      <c r="A32" s="29" t="s">
        <v>265</v>
      </c>
      <c r="B32" s="48">
        <f>SUM(C32:F32)</f>
        <v>13.5</v>
      </c>
      <c r="C32" s="35">
        <v>2.5</v>
      </c>
      <c r="D32" s="34">
        <v>3.5</v>
      </c>
      <c r="E32" s="34">
        <v>3.5</v>
      </c>
      <c r="F32" s="34">
        <v>4</v>
      </c>
      <c r="G32" s="49">
        <f>+(26500+37200+15420+54320+2500+15000+45000+15330+15000)/100000</f>
        <v>2.2627</v>
      </c>
      <c r="H32" s="50">
        <f>+(40750+48050+34800+28305+67880+59605)/100000</f>
        <v>2.7939</v>
      </c>
      <c r="I32" s="50">
        <f>+(116300+139200+50440+39020+800)/100000</f>
        <v>3.4576</v>
      </c>
      <c r="J32" s="76">
        <f>+(74900+70420+10100+20400+62230+57890+12000)/100000</f>
        <v>3.0794</v>
      </c>
      <c r="K32" s="76">
        <f>SUM(G32:J32)</f>
        <v>11.5936</v>
      </c>
      <c r="L32" s="50">
        <f>+((C32+D32+E32+F32)-(G32+H32+I32+J32))*-1</f>
        <v>-1.9064</v>
      </c>
      <c r="M32" s="91">
        <f>+K32/B32</f>
        <v>0.858785185185185</v>
      </c>
      <c r="N32" s="89"/>
      <c r="O32" s="90"/>
    </row>
    <row r="33" spans="1:15">
      <c r="A33" s="29" t="s">
        <v>222</v>
      </c>
      <c r="B33" s="48">
        <f t="shared" ref="B33:B40" si="7">SUM(C33:F33)</f>
        <v>10</v>
      </c>
      <c r="C33" s="35">
        <v>2.5</v>
      </c>
      <c r="D33" s="34">
        <v>3</v>
      </c>
      <c r="E33" s="34">
        <v>2.5</v>
      </c>
      <c r="F33" s="34">
        <v>2</v>
      </c>
      <c r="G33" s="49">
        <f>+(7100+20300+4600+5000+120800+19700)/100000</f>
        <v>1.775</v>
      </c>
      <c r="H33" s="50">
        <f>+(34200+49600+23000+16200+6300+26000)/100000</f>
        <v>1.553</v>
      </c>
      <c r="I33" s="50">
        <f>+(8900+69600+17500+30700)/100000</f>
        <v>1.267</v>
      </c>
      <c r="J33" s="50">
        <f>+(39800+44600+21200+26200+78500+14000)/100000</f>
        <v>2.243</v>
      </c>
      <c r="K33" s="76">
        <f t="shared" ref="K33:K48" si="8">SUM(G33:J33)</f>
        <v>6.838</v>
      </c>
      <c r="L33" s="50">
        <f t="shared" ref="L33:L48" si="9">+((C33+D33+E33+F33)-(G33+H33+I33+J33))*-1</f>
        <v>-3.162</v>
      </c>
      <c r="M33" s="91">
        <f t="shared" ref="M33:M48" si="10">+K33/B33</f>
        <v>0.6838</v>
      </c>
      <c r="N33" s="89"/>
      <c r="O33" s="90"/>
    </row>
    <row r="34" spans="1:15">
      <c r="A34" s="29" t="s">
        <v>266</v>
      </c>
      <c r="B34" s="48">
        <f>SUM(C34:F34)</f>
        <v>10</v>
      </c>
      <c r="C34" s="35">
        <v>2</v>
      </c>
      <c r="D34" s="34">
        <v>2.5</v>
      </c>
      <c r="E34" s="34">
        <v>2.5</v>
      </c>
      <c r="F34" s="34">
        <v>3</v>
      </c>
      <c r="G34" s="49">
        <f>+(11200+12900+8800+15400+14800+18000)/100000</f>
        <v>0.811</v>
      </c>
      <c r="H34" s="50">
        <f>+(11900+19600+16100+16850+17800+85380)/100000</f>
        <v>1.6763</v>
      </c>
      <c r="I34" s="50">
        <f>+(38160+21400+16200+13300)/100000</f>
        <v>0.8906</v>
      </c>
      <c r="J34" s="50">
        <f>+(36200+8800+21200+16900+13700+11700+69500)/100000</f>
        <v>1.78</v>
      </c>
      <c r="K34" s="76">
        <f>SUM(G34:J34)</f>
        <v>5.1579</v>
      </c>
      <c r="L34" s="50">
        <f>+((C34+D34+E34+F34)-(G34+H34+I34+J34))*-1</f>
        <v>-4.8421</v>
      </c>
      <c r="M34" s="91">
        <f>+K34/B34</f>
        <v>0.51579</v>
      </c>
      <c r="N34" s="92"/>
      <c r="O34" s="93"/>
    </row>
    <row r="35" spans="1:15">
      <c r="A35" s="29" t="s">
        <v>209</v>
      </c>
      <c r="B35" s="48">
        <f>SUM(C35:F35)</f>
        <v>12</v>
      </c>
      <c r="C35" s="34">
        <v>2.5</v>
      </c>
      <c r="D35" s="34">
        <v>3</v>
      </c>
      <c r="E35" s="34">
        <v>3</v>
      </c>
      <c r="F35" s="34">
        <v>3.5</v>
      </c>
      <c r="G35" s="49">
        <f>+(35300+18500+23500+21300+15000+17800+44900)/100000</f>
        <v>1.763</v>
      </c>
      <c r="H35" s="50">
        <f>+(60800+61100+47360+5000+31100+35300+62300)/100000</f>
        <v>3.0296</v>
      </c>
      <c r="I35" s="50">
        <f>+(56500+24000+29400+42800+68300)/100000</f>
        <v>2.21</v>
      </c>
      <c r="J35" s="50">
        <f>+(38800+400+52300+26220+35600+10000+41400+27000)/100000</f>
        <v>2.3172</v>
      </c>
      <c r="K35" s="76">
        <f>SUM(G35:J35)</f>
        <v>9.3198</v>
      </c>
      <c r="L35" s="50">
        <f>+((C35+D35+E35+F35)-(G35+H35+I35+J35))*-1</f>
        <v>-2.6802</v>
      </c>
      <c r="M35" s="91">
        <f>+K35/B35</f>
        <v>0.77665</v>
      </c>
      <c r="N35" s="92"/>
      <c r="O35" s="93"/>
    </row>
    <row r="36" spans="1:15">
      <c r="A36" s="29" t="s">
        <v>338</v>
      </c>
      <c r="B36" s="48">
        <f>SUM(C36:F36)</f>
        <v>7.5</v>
      </c>
      <c r="C36" s="34">
        <v>2</v>
      </c>
      <c r="D36" s="34">
        <v>1.5</v>
      </c>
      <c r="E36" s="34">
        <v>2</v>
      </c>
      <c r="F36" s="34">
        <v>2</v>
      </c>
      <c r="G36" s="49">
        <f>+(22000)/100000</f>
        <v>0.22</v>
      </c>
      <c r="H36" s="50">
        <f>+(4400+10000+23800)/100000</f>
        <v>0.382</v>
      </c>
      <c r="I36" s="50">
        <f>+(17600+2000+21400)/100000</f>
        <v>0.41</v>
      </c>
      <c r="J36" s="50">
        <f>+(130000)/100000</f>
        <v>1.3</v>
      </c>
      <c r="K36" s="76">
        <f>SUM(G36:J36)</f>
        <v>2.312</v>
      </c>
      <c r="L36" s="50">
        <f>+((C36+D36+E36+F36)-(G36+H36+I36+J36))*-1</f>
        <v>-5.188</v>
      </c>
      <c r="M36" s="91">
        <f>+K36/B36</f>
        <v>0.308266666666667</v>
      </c>
      <c r="N36" s="92"/>
      <c r="O36" s="93"/>
    </row>
    <row r="37" spans="1:15">
      <c r="A37" s="51" t="s">
        <v>293</v>
      </c>
      <c r="B37" s="48">
        <f t="shared" ref="B37:B38" si="11">SUM(C37:F37)</f>
        <v>11</v>
      </c>
      <c r="C37" s="35">
        <v>2.5</v>
      </c>
      <c r="D37" s="34">
        <v>2.5</v>
      </c>
      <c r="E37" s="34">
        <v>3</v>
      </c>
      <c r="F37" s="34">
        <v>3</v>
      </c>
      <c r="G37" s="49">
        <f>+(14300+15200+11100+35800+17260+16500)/100000</f>
        <v>1.1016</v>
      </c>
      <c r="H37" s="50">
        <f>+(44900+30300+71350+14500+6900+1700)/100000</f>
        <v>1.6965</v>
      </c>
      <c r="I37" s="50">
        <f>+(86800+76700+26600+65700)/100000</f>
        <v>2.558</v>
      </c>
      <c r="J37" s="50">
        <f>+(61200+35900+34900+41600+31200+52260)/100000</f>
        <v>2.5706</v>
      </c>
      <c r="K37" s="76">
        <f t="shared" ref="K37:K38" si="12">SUM(G37:J37)</f>
        <v>7.9267</v>
      </c>
      <c r="L37" s="50">
        <f>+((C37+D37+E37+F37)-(G37+H37+I37+J37))*-1</f>
        <v>-3.0733</v>
      </c>
      <c r="M37" s="91">
        <f>+K37/B37</f>
        <v>0.720609090909091</v>
      </c>
      <c r="N37" s="92"/>
      <c r="O37" s="93"/>
    </row>
    <row r="38" spans="1:15">
      <c r="A38" s="51" t="s">
        <v>261</v>
      </c>
      <c r="B38" s="48">
        <f>SUM(C38:F38)</f>
        <v>6</v>
      </c>
      <c r="C38" s="35">
        <v>1.5</v>
      </c>
      <c r="D38" s="34">
        <v>1</v>
      </c>
      <c r="E38" s="34">
        <v>1.5</v>
      </c>
      <c r="F38" s="34">
        <v>2</v>
      </c>
      <c r="G38" s="49">
        <f>+(16600+24200+28800+27100+22300+22100)/100000</f>
        <v>1.411</v>
      </c>
      <c r="H38" s="50">
        <f>+(22850+22500+23500+22500+21000+46700)/100000</f>
        <v>1.5905</v>
      </c>
      <c r="I38" s="50">
        <f>+(27700+33900+26000+27900)/100000</f>
        <v>1.155</v>
      </c>
      <c r="J38" s="50">
        <f>+(28900+6400+24200+24600+24200+9800)/100000</f>
        <v>1.181</v>
      </c>
      <c r="K38" s="76">
        <f>SUM(G38:J38)</f>
        <v>5.3375</v>
      </c>
      <c r="L38" s="50">
        <f>+((C38+D38+E38+F38)-(G38+H38+I38+J38))*-1</f>
        <v>-0.6625</v>
      </c>
      <c r="M38" s="91">
        <f>+K38/B38</f>
        <v>0.889583333333333</v>
      </c>
      <c r="N38" s="92"/>
      <c r="O38" s="93"/>
    </row>
    <row r="39" spans="1:15">
      <c r="A39" s="51" t="s">
        <v>263</v>
      </c>
      <c r="B39" s="48">
        <f>SUM(C39:F39)</f>
        <v>7</v>
      </c>
      <c r="C39" s="35">
        <v>1.5</v>
      </c>
      <c r="D39" s="52">
        <v>1.75</v>
      </c>
      <c r="E39" s="52">
        <v>2</v>
      </c>
      <c r="F39" s="52">
        <v>1.75</v>
      </c>
      <c r="G39" s="49">
        <f>+(20400+27900+20720+46140+24050+27700)/100000</f>
        <v>1.6691</v>
      </c>
      <c r="H39" s="50">
        <f>+(34800+36700+22150+26200+56800+18460)/100000</f>
        <v>1.9511</v>
      </c>
      <c r="I39" s="50">
        <f>+(15600+27560+15800+36000)/100000</f>
        <v>0.9496</v>
      </c>
      <c r="J39" s="50">
        <f>+(33700+19200+19550+23500+35300+20300)/100000</f>
        <v>1.5155</v>
      </c>
      <c r="K39" s="76">
        <f>SUM(G39:J39)</f>
        <v>6.0853</v>
      </c>
      <c r="L39" s="50">
        <f>+((C39+D39+E39+F39)-(G39+H39+I39+J39))*-1</f>
        <v>-0.9147</v>
      </c>
      <c r="M39" s="91">
        <f>+K39/B39</f>
        <v>0.869328571428571</v>
      </c>
      <c r="N39" s="94"/>
      <c r="O39" s="95"/>
    </row>
    <row r="40" spans="1:15">
      <c r="A40" s="51" t="s">
        <v>271</v>
      </c>
      <c r="B40" s="48">
        <f>SUM(C40:F40)</f>
        <v>9.5</v>
      </c>
      <c r="C40" s="35">
        <v>2</v>
      </c>
      <c r="D40" s="52">
        <v>2.5</v>
      </c>
      <c r="E40" s="52">
        <v>2</v>
      </c>
      <c r="F40" s="52">
        <v>3</v>
      </c>
      <c r="G40" s="49">
        <f>+(3400+20300+1600+25000+21700+5300)/100000</f>
        <v>0.773</v>
      </c>
      <c r="H40" s="50">
        <f>+(7400+37700+19000+8500+14300+52400)/100000</f>
        <v>1.393</v>
      </c>
      <c r="I40" s="50">
        <f>+(16700+23700+25000+6900)/100000</f>
        <v>0.723</v>
      </c>
      <c r="J40" s="50">
        <f>+(57900+14300+54900+7800+18700+6700)/100000</f>
        <v>1.603</v>
      </c>
      <c r="K40" s="76">
        <f>SUM(G40:J40)</f>
        <v>4.492</v>
      </c>
      <c r="L40" s="50">
        <f>+((C40+D40+E40+F40)-(G40+H40+I40+J40))*-1</f>
        <v>-5.008</v>
      </c>
      <c r="M40" s="91">
        <f>+K40/B40</f>
        <v>0.472842105263158</v>
      </c>
      <c r="N40" s="92"/>
      <c r="O40" s="93"/>
    </row>
    <row r="41" spans="1:15">
      <c r="A41" s="51" t="s">
        <v>262</v>
      </c>
      <c r="B41" s="48">
        <f t="shared" ref="B41:B48" si="13">SUM(C41:F41)</f>
        <v>10</v>
      </c>
      <c r="C41" s="35">
        <v>2</v>
      </c>
      <c r="D41" s="52">
        <v>3</v>
      </c>
      <c r="E41" s="52">
        <v>2.5</v>
      </c>
      <c r="F41" s="52">
        <v>2.5</v>
      </c>
      <c r="G41" s="49">
        <f>+(27600+25950+8900+18850+19600+14700)/100000</f>
        <v>1.156</v>
      </c>
      <c r="H41" s="50">
        <f>+(33200+111550+16600+18600+11000)/100000</f>
        <v>1.9095</v>
      </c>
      <c r="I41" s="50">
        <f>+(50100+42200+37900+59900)/100000</f>
        <v>1.901</v>
      </c>
      <c r="J41" s="50">
        <f>+(45800+20700+24000+21700+27700+27450)/100000</f>
        <v>1.6735</v>
      </c>
      <c r="K41" s="76">
        <f>SUM(G41:J41)</f>
        <v>6.64</v>
      </c>
      <c r="L41" s="50">
        <f>+((C41+D41+E41+F41)-(G41+H41+I41+J41))*-1</f>
        <v>-3.36</v>
      </c>
      <c r="M41" s="91">
        <f>+K41/B41</f>
        <v>0.664</v>
      </c>
      <c r="N41" s="92"/>
      <c r="O41" s="93"/>
    </row>
    <row r="42" spans="1:15">
      <c r="A42" s="51" t="s">
        <v>172</v>
      </c>
      <c r="B42" s="48">
        <f>SUM(C42:F42)</f>
        <v>10.5</v>
      </c>
      <c r="C42" s="35">
        <v>2.5</v>
      </c>
      <c r="D42" s="52">
        <v>3</v>
      </c>
      <c r="E42" s="52">
        <v>2.5</v>
      </c>
      <c r="F42" s="52">
        <v>2.5</v>
      </c>
      <c r="G42" s="49">
        <f>+(13100+20700+35900+16600+11800+65100)/100000</f>
        <v>1.632</v>
      </c>
      <c r="H42" s="50">
        <f>+(44900+169100+15750+10800+12300+46200)/100000</f>
        <v>2.9905</v>
      </c>
      <c r="I42" s="50">
        <f>+(49800+48500+46000+17100)/100000</f>
        <v>1.614</v>
      </c>
      <c r="J42" s="50">
        <f>+(23600+36800+15100+81000+38100)/100000</f>
        <v>1.946</v>
      </c>
      <c r="K42" s="76">
        <f>SUM(G42:J42)</f>
        <v>8.1825</v>
      </c>
      <c r="L42" s="50">
        <f>+((C42+D42+E42+F42)-(G42+H42+I42+J42))*-1</f>
        <v>-2.3175</v>
      </c>
      <c r="M42" s="91">
        <f>+K42/B42</f>
        <v>0.779285714285714</v>
      </c>
      <c r="N42" s="92"/>
      <c r="O42" s="93"/>
    </row>
    <row r="43" spans="1:15">
      <c r="A43" s="51" t="s">
        <v>141</v>
      </c>
      <c r="B43" s="48">
        <f>SUM(C43:F43)</f>
        <v>10.5</v>
      </c>
      <c r="C43" s="35">
        <v>2.25</v>
      </c>
      <c r="D43" s="52">
        <v>3</v>
      </c>
      <c r="E43" s="52">
        <v>2.75</v>
      </c>
      <c r="F43" s="52">
        <v>2.5</v>
      </c>
      <c r="G43" s="49">
        <f>+(25300+15200+9780+39100+19600+8300)/100000</f>
        <v>1.1728</v>
      </c>
      <c r="H43" s="50">
        <f>+(90600+52500+31700+19100+44700+4000)/100000</f>
        <v>2.426</v>
      </c>
      <c r="I43" s="50">
        <f>+(25300+4700+7200+32700)/100000</f>
        <v>0.699</v>
      </c>
      <c r="J43" s="50">
        <f>+(13900+42100+20500+34300+50220+25700)/100000</f>
        <v>1.8672</v>
      </c>
      <c r="K43" s="76">
        <f>SUM(G43:J43)</f>
        <v>6.165</v>
      </c>
      <c r="L43" s="50">
        <f>+((C43+D43+E43+F43)-(G43+H43+I43+J43))*-1</f>
        <v>-4.335</v>
      </c>
      <c r="M43" s="91">
        <f>+K43/B43</f>
        <v>0.587142857142857</v>
      </c>
      <c r="N43" s="92"/>
      <c r="O43" s="93"/>
    </row>
    <row r="44" spans="1:15">
      <c r="A44" s="51" t="s">
        <v>267</v>
      </c>
      <c r="B44" s="48">
        <f>SUM(C44:F44)</f>
        <v>10.5</v>
      </c>
      <c r="C44" s="35">
        <v>2</v>
      </c>
      <c r="D44" s="52">
        <v>3</v>
      </c>
      <c r="E44" s="52">
        <v>2.5</v>
      </c>
      <c r="F44" s="52">
        <v>3</v>
      </c>
      <c r="G44" s="49">
        <f>+(25900+58400+14050+29700+20100+14700)/100000</f>
        <v>1.6285</v>
      </c>
      <c r="H44" s="50">
        <f>+(33530+150910+38000+22800+12300+46200)/100000</f>
        <v>3.0374</v>
      </c>
      <c r="I44" s="50">
        <f>+(30300+36600+35300+41100)/100000</f>
        <v>1.433</v>
      </c>
      <c r="J44" s="50">
        <f>+(45800+48550+2010+23100+35900+36300)/100000</f>
        <v>1.9166</v>
      </c>
      <c r="K44" s="76">
        <f>SUM(G44:J44)</f>
        <v>8.0155</v>
      </c>
      <c r="L44" s="50">
        <f>+((C44+D44+E44+F44)-(G44+H44+I44+J44))*-1</f>
        <v>-2.4845</v>
      </c>
      <c r="M44" s="91">
        <f>+K44/B44</f>
        <v>0.763380952380952</v>
      </c>
      <c r="N44" s="92"/>
      <c r="O44" s="93"/>
    </row>
    <row r="45" spans="1:15">
      <c r="A45" s="53" t="s">
        <v>290</v>
      </c>
      <c r="B45" s="48">
        <f>SUM(C45:F45)</f>
        <v>6.5</v>
      </c>
      <c r="C45" s="35">
        <v>1</v>
      </c>
      <c r="D45" s="52">
        <v>1.5</v>
      </c>
      <c r="E45" s="52">
        <v>1.5</v>
      </c>
      <c r="F45" s="52">
        <v>2.5</v>
      </c>
      <c r="G45" s="49">
        <f>+(7100+5400+25400+19700+3400+19700)/100000</f>
        <v>0.807</v>
      </c>
      <c r="H45" s="50">
        <f>+(22800+4400+4400+4400+3400)/100000</f>
        <v>0.394</v>
      </c>
      <c r="I45" s="50">
        <f>+(8900+225400+56600+4200+5400)/100000</f>
        <v>3.005</v>
      </c>
      <c r="J45" s="50">
        <f>+(18900+4400+8800+114600+6200+52600+13200)/100000</f>
        <v>2.187</v>
      </c>
      <c r="K45" s="76">
        <f>SUM(G45:J45)</f>
        <v>6.393</v>
      </c>
      <c r="L45" s="50">
        <f>+((C45+D45+E45+F45)-(G45+H45+I45+J45))*-1</f>
        <v>-0.107000000000001</v>
      </c>
      <c r="M45" s="91">
        <f>+K45/B45</f>
        <v>0.983538461538461</v>
      </c>
      <c r="N45" s="92"/>
      <c r="O45" s="93"/>
    </row>
    <row r="46" spans="1:15">
      <c r="A46" s="53" t="s">
        <v>35</v>
      </c>
      <c r="B46" s="48">
        <f>SUM(C46:F46)</f>
        <v>2.5</v>
      </c>
      <c r="C46" s="35">
        <v>0.5</v>
      </c>
      <c r="D46" s="52">
        <v>0.5</v>
      </c>
      <c r="E46" s="52">
        <v>0.5</v>
      </c>
      <c r="F46" s="52">
        <v>1</v>
      </c>
      <c r="G46" s="49"/>
      <c r="H46" s="50"/>
      <c r="I46" s="50">
        <f>+(5000)/100000</f>
        <v>0.05</v>
      </c>
      <c r="J46" s="50">
        <f>+(50000+49000)/100000</f>
        <v>0.99</v>
      </c>
      <c r="K46" s="76">
        <f>SUM(G46:J46)</f>
        <v>1.04</v>
      </c>
      <c r="L46" s="50">
        <f>+((C46+D46+E46+F46)-(G46+H46+I46+J46))*-1</f>
        <v>-1.46</v>
      </c>
      <c r="M46" s="91">
        <f>+K46/B46</f>
        <v>0.416</v>
      </c>
      <c r="N46" s="92"/>
      <c r="O46" s="93"/>
    </row>
    <row r="47" spans="1:15">
      <c r="A47" s="53" t="s">
        <v>38</v>
      </c>
      <c r="B47" s="48">
        <f>SUM(C47:F47)</f>
        <v>23</v>
      </c>
      <c r="C47" s="35">
        <v>5</v>
      </c>
      <c r="D47" s="52">
        <v>5</v>
      </c>
      <c r="E47" s="52">
        <v>6</v>
      </c>
      <c r="F47" s="52">
        <v>7</v>
      </c>
      <c r="G47" s="49">
        <f>+(13800+26455+35800+21540+32605+10000+200+500+1100+200+10900+800+34200+44825+400+4170)/100000</f>
        <v>2.37495</v>
      </c>
      <c r="H47" s="50">
        <f>+(54920+2800+400+15930+272800+2000+200+1200+45515+5000+7780+32700+25550+200+400+10300)/100000</f>
        <v>4.77695</v>
      </c>
      <c r="I47" s="50">
        <f>+(22000+25300+10200+26400+6200+48680+26400+12500+400+1100+107500+3100+278945)/100000</f>
        <v>5.68725</v>
      </c>
      <c r="J47" s="50">
        <f>+(60+52900+57200+22340+900+500+22000+36400+200+500+10000+20000+18400+35730+51200+300+200+200+200+110000+500+1000+200+4000+41910)/100000</f>
        <v>4.8684</v>
      </c>
      <c r="K47" s="76">
        <f>SUM(G47:J47)</f>
        <v>17.70755</v>
      </c>
      <c r="L47" s="50">
        <f>+((C47+D47+E47+F47)-(G47+H47+I47+J47))*-1</f>
        <v>-5.29245</v>
      </c>
      <c r="M47" s="91">
        <f>+K47/B47</f>
        <v>0.76989347826087</v>
      </c>
      <c r="N47" s="92"/>
      <c r="O47" s="93"/>
    </row>
    <row r="48" spans="1:15">
      <c r="A48" s="54" t="s">
        <v>44</v>
      </c>
      <c r="B48" s="48">
        <f>SUM(C48:F48)</f>
        <v>160</v>
      </c>
      <c r="C48" s="35">
        <f t="shared" ref="C48:J48" si="14">SUM(C32:C47)</f>
        <v>34.25</v>
      </c>
      <c r="D48" s="48">
        <f>SUM(D32:D47)</f>
        <v>40.25</v>
      </c>
      <c r="E48" s="48">
        <f>SUM(E32:E47)</f>
        <v>40.25</v>
      </c>
      <c r="F48" s="48">
        <f>SUM(F32:F47)</f>
        <v>45.25</v>
      </c>
      <c r="G48" s="49">
        <f>SUM(G32:G47)</f>
        <v>20.55765</v>
      </c>
      <c r="H48" s="50">
        <f>SUM(H32:H47)</f>
        <v>31.60025</v>
      </c>
      <c r="I48" s="50">
        <f>SUM(I32:I47)</f>
        <v>28.01005</v>
      </c>
      <c r="J48" s="50">
        <f>SUM(J32:J47)</f>
        <v>33.0384</v>
      </c>
      <c r="K48" s="76">
        <f>SUM(G48:J48)</f>
        <v>113.20635</v>
      </c>
      <c r="L48" s="50">
        <f>+((C48+D48+E48+F48)-(G48+H48+I48+J48))*-1</f>
        <v>-46.79365</v>
      </c>
      <c r="M48" s="91">
        <f>+K48/B48</f>
        <v>0.7075396875</v>
      </c>
      <c r="N48" s="92"/>
      <c r="O48" s="93"/>
    </row>
    <row r="49" spans="1:15">
      <c r="A49" s="55"/>
      <c r="B49" s="56"/>
      <c r="C49" s="57"/>
      <c r="N49" s="94"/>
      <c r="O49" s="95"/>
    </row>
    <row r="50" spans="14:15">
      <c r="N50" s="92"/>
      <c r="O50" s="93"/>
    </row>
    <row r="51" spans="14:15">
      <c r="N51" s="92"/>
      <c r="O51" s="93"/>
    </row>
    <row r="52" spans="2:15">
      <c r="B52" s="1"/>
      <c r="N52" s="92"/>
      <c r="O52" s="93"/>
    </row>
    <row r="53" spans="2:15">
      <c r="B53" s="1"/>
      <c r="N53" s="92"/>
      <c r="O53" s="93"/>
    </row>
    <row r="54" spans="2:15">
      <c r="B54" s="1"/>
      <c r="N54" s="92"/>
      <c r="O54" s="93"/>
    </row>
    <row r="55" spans="2:15">
      <c r="B55" s="1"/>
      <c r="N55" s="92"/>
      <c r="O55" s="93"/>
    </row>
    <row r="56" spans="2:15">
      <c r="B56" s="1"/>
      <c r="N56" s="92"/>
      <c r="O56" s="93"/>
    </row>
    <row r="57" spans="2:15">
      <c r="B57" s="1"/>
      <c r="N57" s="92"/>
      <c r="O57" s="93"/>
    </row>
    <row r="58" spans="2:15">
      <c r="B58" s="1"/>
      <c r="N58" s="92"/>
      <c r="O58" s="93"/>
    </row>
    <row r="59" spans="2:15">
      <c r="B59" s="1"/>
      <c r="N59" s="94"/>
      <c r="O59" s="95"/>
    </row>
    <row r="60" spans="2:15">
      <c r="B60" s="1"/>
      <c r="N60" s="92"/>
      <c r="O60" s="93"/>
    </row>
    <row r="61" spans="2:15">
      <c r="B61" s="1"/>
      <c r="N61" s="92"/>
      <c r="O61" s="93"/>
    </row>
    <row r="62" spans="2:15">
      <c r="B62" s="1"/>
      <c r="N62" s="92"/>
      <c r="O62" s="93"/>
    </row>
    <row r="63" spans="2:15">
      <c r="B63" s="1"/>
      <c r="N63" s="92"/>
      <c r="O63" s="93"/>
    </row>
    <row r="64" spans="2:15">
      <c r="B64" s="1"/>
      <c r="N64" s="92"/>
      <c r="O64" s="93"/>
    </row>
    <row r="65" spans="2:15">
      <c r="B65" s="1"/>
      <c r="N65" s="92"/>
      <c r="O65" s="93"/>
    </row>
    <row r="66" spans="2:15">
      <c r="B66" s="1"/>
      <c r="N66" s="92"/>
      <c r="O66" s="93"/>
    </row>
    <row r="67" spans="2:15">
      <c r="B67" s="1"/>
      <c r="N67" s="94"/>
      <c r="O67" s="95"/>
    </row>
    <row r="68" spans="2:15">
      <c r="B68" s="1"/>
      <c r="N68" s="92"/>
      <c r="O68" s="93"/>
    </row>
    <row r="69" spans="2:15">
      <c r="B69" s="1"/>
      <c r="N69" s="92"/>
      <c r="O69" s="93"/>
    </row>
    <row r="70" spans="2:15">
      <c r="B70" s="1"/>
      <c r="N70" s="92"/>
      <c r="O70" s="93"/>
    </row>
    <row r="71" spans="2:15">
      <c r="B71" s="1"/>
      <c r="N71" s="92"/>
      <c r="O71" s="93"/>
    </row>
    <row r="72" spans="2:15">
      <c r="B72" s="1"/>
      <c r="N72" s="92"/>
      <c r="O72" s="93"/>
    </row>
    <row r="73" spans="2:15">
      <c r="B73" s="1"/>
      <c r="N73" s="92"/>
      <c r="O73" s="93"/>
    </row>
    <row r="74" spans="2:15">
      <c r="B74" s="1"/>
      <c r="N74" s="92"/>
      <c r="O74" s="93"/>
    </row>
    <row r="75" spans="2:15">
      <c r="B75" s="1"/>
      <c r="N75" s="92"/>
      <c r="O75" s="96"/>
    </row>
  </sheetData>
  <mergeCells count="5">
    <mergeCell ref="D5:F5"/>
    <mergeCell ref="C6:F6"/>
    <mergeCell ref="G6:J6"/>
    <mergeCell ref="C30:F30"/>
    <mergeCell ref="G30:J30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Q73"/>
  <sheetViews>
    <sheetView workbookViewId="0">
      <selection activeCell="K8" sqref="K8"/>
    </sheetView>
  </sheetViews>
  <sheetFormatPr defaultColWidth="9" defaultRowHeight="15"/>
  <cols>
    <col min="1" max="1" width="17.4285714285714" style="1" customWidth="1"/>
    <col min="2" max="2" width="9" style="2" customWidth="1"/>
    <col min="3" max="3" width="8.42857142857143" style="1" customWidth="1"/>
    <col min="4" max="4" width="8.57142857142857" style="1" customWidth="1"/>
    <col min="5" max="5" width="8.28571428571429" style="1" customWidth="1"/>
    <col min="6" max="6" width="8.71428571428571" style="1" customWidth="1"/>
    <col min="7" max="7" width="8.28571428571429" style="1" customWidth="1"/>
    <col min="8" max="8" width="8.85714285714286" style="1" customWidth="1"/>
    <col min="9" max="9" width="10.1428571428571" style="1" customWidth="1"/>
    <col min="10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ht="13.5" customHeight="1" spans="1:13">
      <c r="A1" s="3" t="s">
        <v>339</v>
      </c>
      <c r="B1" s="4" t="s">
        <v>340</v>
      </c>
      <c r="C1" s="5"/>
      <c r="D1" s="5"/>
      <c r="E1" s="5"/>
      <c r="F1" s="5"/>
      <c r="G1" s="5"/>
      <c r="H1" s="5"/>
      <c r="I1" s="5"/>
      <c r="J1" s="5"/>
      <c r="K1" s="5"/>
      <c r="L1" s="5"/>
      <c r="M1" s="58"/>
    </row>
    <row r="2" spans="1:13">
      <c r="A2" s="6" t="s">
        <v>311</v>
      </c>
      <c r="B2" s="7">
        <f>+K27</f>
        <v>85</v>
      </c>
      <c r="C2" s="8"/>
      <c r="D2" s="8"/>
      <c r="E2" s="8"/>
      <c r="F2" s="8"/>
      <c r="G2" s="9"/>
      <c r="H2" s="10"/>
      <c r="I2" s="59"/>
      <c r="J2" s="10"/>
      <c r="K2" s="10"/>
      <c r="L2" s="10"/>
      <c r="M2" s="104"/>
    </row>
    <row r="3" ht="12" customHeight="1" spans="1:13">
      <c r="A3" s="6" t="s">
        <v>312</v>
      </c>
      <c r="B3" s="7">
        <f>+M27</f>
        <v>238</v>
      </c>
      <c r="C3" s="8"/>
      <c r="D3" s="8"/>
      <c r="E3" s="8"/>
      <c r="F3" s="8"/>
      <c r="G3" s="9"/>
      <c r="H3" s="10"/>
      <c r="I3" s="10"/>
      <c r="J3" s="10"/>
      <c r="K3" s="10"/>
      <c r="L3" s="61"/>
      <c r="M3" s="105"/>
    </row>
    <row r="4" spans="1:13">
      <c r="A4" s="6" t="s">
        <v>341</v>
      </c>
      <c r="B4" s="11"/>
      <c r="C4" s="12"/>
      <c r="D4" s="13" t="s">
        <v>342</v>
      </c>
      <c r="E4" s="12"/>
      <c r="F4" s="12"/>
      <c r="G4" s="14" t="s">
        <v>78</v>
      </c>
      <c r="H4" s="15"/>
      <c r="I4" s="62" t="s">
        <v>7</v>
      </c>
      <c r="J4" s="13">
        <f>+K46</f>
        <v>141.78897</v>
      </c>
      <c r="K4" s="12" t="s">
        <v>8</v>
      </c>
      <c r="L4" s="12" t="s">
        <v>256</v>
      </c>
      <c r="M4" s="106"/>
    </row>
    <row r="5" spans="1:13">
      <c r="A5" s="16" t="s">
        <v>10</v>
      </c>
      <c r="B5" s="17" t="s">
        <v>343</v>
      </c>
      <c r="C5" s="18" t="s">
        <v>121</v>
      </c>
      <c r="D5" s="19">
        <v>9863000</v>
      </c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2.5" customHeight="1" spans="1:13">
      <c r="A7" s="25" t="s">
        <v>16</v>
      </c>
      <c r="B7" s="25" t="s">
        <v>317</v>
      </c>
      <c r="C7" s="25" t="s">
        <v>152</v>
      </c>
      <c r="D7" s="25" t="s">
        <v>153</v>
      </c>
      <c r="E7" s="25" t="s">
        <v>123</v>
      </c>
      <c r="F7" s="25" t="s">
        <v>106</v>
      </c>
      <c r="G7" s="25" t="s">
        <v>152</v>
      </c>
      <c r="H7" s="25" t="s">
        <v>154</v>
      </c>
      <c r="I7" s="25" t="s">
        <v>155</v>
      </c>
      <c r="J7" s="25" t="s">
        <v>107</v>
      </c>
      <c r="K7" s="25" t="s">
        <v>22</v>
      </c>
      <c r="L7" s="25" t="s">
        <v>23</v>
      </c>
      <c r="M7" s="25" t="s">
        <v>318</v>
      </c>
    </row>
    <row r="8" ht="16.5" customHeight="1" spans="1:13">
      <c r="A8" s="112" t="s">
        <v>298</v>
      </c>
      <c r="B8" s="33">
        <f>SUM(C8:F8)</f>
        <v>2</v>
      </c>
      <c r="C8" s="33">
        <v>0</v>
      </c>
      <c r="D8" s="33">
        <v>1</v>
      </c>
      <c r="E8" s="33">
        <v>1</v>
      </c>
      <c r="F8" s="33">
        <v>0</v>
      </c>
      <c r="G8" s="33"/>
      <c r="H8" s="33"/>
      <c r="I8" s="33"/>
      <c r="J8" s="33"/>
      <c r="K8" s="48">
        <f>SUM(G8:J8)</f>
        <v>0</v>
      </c>
      <c r="L8" s="48">
        <f>+((C8+D8+E8+F8)-(G8+H8+I8+J8))*-1</f>
        <v>-2</v>
      </c>
      <c r="M8" s="113"/>
    </row>
    <row r="9" spans="1:13">
      <c r="A9" s="29" t="s">
        <v>324</v>
      </c>
      <c r="B9" s="33">
        <f t="shared" ref="B9:B27" si="0">SUM(C9:F9)</f>
        <v>12</v>
      </c>
      <c r="C9" s="34">
        <v>3</v>
      </c>
      <c r="D9" s="34">
        <v>3</v>
      </c>
      <c r="E9" s="34">
        <v>3</v>
      </c>
      <c r="F9" s="33">
        <v>3</v>
      </c>
      <c r="G9" s="48">
        <v>3</v>
      </c>
      <c r="H9" s="48">
        <v>5</v>
      </c>
      <c r="I9" s="48">
        <v>3</v>
      </c>
      <c r="J9" s="48">
        <v>2</v>
      </c>
      <c r="K9" s="48">
        <f t="shared" ref="K9:K27" si="1">SUM(G9:J9)</f>
        <v>13</v>
      </c>
      <c r="L9" s="48">
        <f t="shared" ref="L9:L27" si="2">+((C9+D9+E9+F9)-(G9+H9+I9+J9))*-1</f>
        <v>1</v>
      </c>
      <c r="M9" s="78">
        <v>27</v>
      </c>
    </row>
    <row r="10" spans="1:13">
      <c r="A10" s="29" t="s">
        <v>325</v>
      </c>
      <c r="B10" s="33">
        <f>SUM(C10:F10)</f>
        <v>12</v>
      </c>
      <c r="C10" s="34">
        <v>3</v>
      </c>
      <c r="D10" s="34">
        <v>3</v>
      </c>
      <c r="E10" s="34">
        <v>3</v>
      </c>
      <c r="F10" s="33">
        <v>3</v>
      </c>
      <c r="G10" s="48">
        <v>4</v>
      </c>
      <c r="H10" s="48">
        <v>4</v>
      </c>
      <c r="I10" s="48">
        <v>2</v>
      </c>
      <c r="J10" s="48">
        <v>2</v>
      </c>
      <c r="K10" s="48">
        <f>SUM(G10:J10)</f>
        <v>12</v>
      </c>
      <c r="L10" s="48">
        <f>+((C10+D10+E10+F10)-(G10+H10+I10+J10))*-1</f>
        <v>0</v>
      </c>
      <c r="M10" s="78">
        <v>29.5</v>
      </c>
    </row>
    <row r="11" spans="1:13">
      <c r="A11" s="29" t="s">
        <v>326</v>
      </c>
      <c r="B11" s="33">
        <f>SUM(C11:F11)</f>
        <v>12</v>
      </c>
      <c r="C11" s="34">
        <v>3</v>
      </c>
      <c r="D11" s="34">
        <v>3</v>
      </c>
      <c r="E11" s="34">
        <v>3</v>
      </c>
      <c r="F11" s="33">
        <v>3</v>
      </c>
      <c r="G11" s="48">
        <v>4</v>
      </c>
      <c r="H11" s="48"/>
      <c r="I11" s="48">
        <v>4</v>
      </c>
      <c r="J11" s="48">
        <v>4</v>
      </c>
      <c r="K11" s="48">
        <f>SUM(G11:J11)</f>
        <v>12</v>
      </c>
      <c r="L11" s="48">
        <f>+((C11+D11+E11+F11)-(G11+H11+I11+J11))*-1</f>
        <v>0</v>
      </c>
      <c r="M11" s="78">
        <v>13.5</v>
      </c>
    </row>
    <row r="12" spans="1:13">
      <c r="A12" s="29" t="s">
        <v>300</v>
      </c>
      <c r="B12" s="33">
        <f>SUM(C12:F12)</f>
        <v>10</v>
      </c>
      <c r="C12" s="34">
        <v>3</v>
      </c>
      <c r="D12" s="34">
        <v>3</v>
      </c>
      <c r="E12" s="34">
        <v>2</v>
      </c>
      <c r="F12" s="33">
        <v>2</v>
      </c>
      <c r="G12" s="48"/>
      <c r="H12" s="48"/>
      <c r="I12" s="48"/>
      <c r="J12" s="48"/>
      <c r="K12" s="48">
        <f>SUM(G12:J12)</f>
        <v>0</v>
      </c>
      <c r="L12" s="48">
        <f>+((C12+D12+E12+F12)-(G12+H12+I12+J12))*-1</f>
        <v>-10</v>
      </c>
      <c r="M12" s="48"/>
    </row>
    <row r="13" spans="1:13">
      <c r="A13" s="29" t="s">
        <v>327</v>
      </c>
      <c r="B13" s="33">
        <f>SUM(C13:F13)</f>
        <v>6</v>
      </c>
      <c r="C13" s="34">
        <v>1</v>
      </c>
      <c r="D13" s="34">
        <v>2</v>
      </c>
      <c r="E13" s="34">
        <v>2</v>
      </c>
      <c r="F13" s="33">
        <v>1</v>
      </c>
      <c r="G13" s="48"/>
      <c r="H13" s="48"/>
      <c r="I13" s="48"/>
      <c r="J13" s="48">
        <v>1</v>
      </c>
      <c r="K13" s="48">
        <f>SUM(G13:J13)</f>
        <v>1</v>
      </c>
      <c r="L13" s="48">
        <f>+((C13+D13+E13+F13)-(G13+H13+I13+J13))*-1</f>
        <v>-5</v>
      </c>
      <c r="M13" s="48">
        <v>0.5</v>
      </c>
    </row>
    <row r="14" spans="1:13">
      <c r="A14" s="29" t="s">
        <v>328</v>
      </c>
      <c r="B14" s="33">
        <f>SUM(C14:F14)</f>
        <v>6</v>
      </c>
      <c r="C14" s="34">
        <v>1</v>
      </c>
      <c r="D14" s="34">
        <v>2</v>
      </c>
      <c r="E14" s="34">
        <v>2</v>
      </c>
      <c r="F14" s="33">
        <v>1</v>
      </c>
      <c r="G14" s="48">
        <v>1</v>
      </c>
      <c r="H14" s="48"/>
      <c r="I14" s="48">
        <v>2</v>
      </c>
      <c r="J14" s="48">
        <v>3</v>
      </c>
      <c r="K14" s="48">
        <f>SUM(G14:J14)</f>
        <v>6</v>
      </c>
      <c r="L14" s="48">
        <f>+((C14+D14+E14+F14)-(G14+H14+I14+J14))*-1</f>
        <v>0</v>
      </c>
      <c r="M14" s="48">
        <v>7</v>
      </c>
    </row>
    <row r="15" spans="1:17">
      <c r="A15" s="29" t="s">
        <v>329</v>
      </c>
      <c r="B15" s="33">
        <f>SUM(C15:F15)</f>
        <v>6</v>
      </c>
      <c r="C15" s="34">
        <v>2</v>
      </c>
      <c r="D15" s="34">
        <v>2</v>
      </c>
      <c r="E15" s="34">
        <v>1</v>
      </c>
      <c r="F15" s="33">
        <v>1</v>
      </c>
      <c r="G15" s="48"/>
      <c r="H15" s="48">
        <v>1</v>
      </c>
      <c r="I15" s="48"/>
      <c r="J15" s="48"/>
      <c r="K15" s="48">
        <f>SUM(G15:J15)</f>
        <v>1</v>
      </c>
      <c r="L15" s="48">
        <f>+((C15+D15+E15+F15)-(G15+H15+I15+J15))*-1</f>
        <v>-5</v>
      </c>
      <c r="M15" s="78">
        <v>5</v>
      </c>
      <c r="Q15"/>
    </row>
    <row r="16" spans="1:13">
      <c r="A16" s="29" t="s">
        <v>304</v>
      </c>
      <c r="B16" s="33">
        <f>SUM(C16:F16)</f>
        <v>6</v>
      </c>
      <c r="C16" s="34">
        <v>2</v>
      </c>
      <c r="D16" s="34">
        <v>2</v>
      </c>
      <c r="E16" s="34">
        <v>1</v>
      </c>
      <c r="F16" s="34">
        <v>1</v>
      </c>
      <c r="G16" s="48">
        <v>2</v>
      </c>
      <c r="H16" s="48"/>
      <c r="I16" s="48"/>
      <c r="J16" s="48"/>
      <c r="K16" s="48">
        <f>SUM(G16:J16)</f>
        <v>2</v>
      </c>
      <c r="L16" s="48">
        <f>+((C16+D16+E16+F16)-(G16+H16+I16+J16))*-1</f>
        <v>-4</v>
      </c>
      <c r="M16" s="48">
        <v>1</v>
      </c>
    </row>
    <row r="17" spans="1:13">
      <c r="A17" s="29" t="s">
        <v>330</v>
      </c>
      <c r="B17" s="33">
        <f t="shared" ref="B17:B19" si="3">SUM(C17:F17)</f>
        <v>6</v>
      </c>
      <c r="C17" s="34">
        <v>2</v>
      </c>
      <c r="D17" s="34">
        <v>2</v>
      </c>
      <c r="E17" s="34">
        <v>1</v>
      </c>
      <c r="F17" s="34">
        <v>1</v>
      </c>
      <c r="G17" s="48">
        <v>4</v>
      </c>
      <c r="H17" s="48">
        <v>1</v>
      </c>
      <c r="I17" s="48"/>
      <c r="J17" s="48">
        <v>1</v>
      </c>
      <c r="K17" s="48">
        <f>SUM(G17:J17)</f>
        <v>6</v>
      </c>
      <c r="L17" s="48">
        <f>+((C17+D17+E17+F17)-(G17+H17+I17+J17))*-1</f>
        <v>0</v>
      </c>
      <c r="M17" s="48">
        <v>6.5</v>
      </c>
    </row>
    <row r="18" ht="13.5" customHeight="1" spans="1:13">
      <c r="A18" s="31" t="s">
        <v>344</v>
      </c>
      <c r="B18" s="33"/>
      <c r="C18" s="34"/>
      <c r="D18" s="34"/>
      <c r="E18" s="34"/>
      <c r="F18" s="34"/>
      <c r="G18" s="48">
        <v>1</v>
      </c>
      <c r="H18" s="48">
        <v>1</v>
      </c>
      <c r="I18" s="48"/>
      <c r="J18" s="48">
        <v>1</v>
      </c>
      <c r="K18" s="48">
        <f>SUM(G18:J18)</f>
        <v>3</v>
      </c>
      <c r="L18" s="48">
        <f>+((C18+D18+E18+F18)-(G18+H18+I18+J18))*-1</f>
        <v>3</v>
      </c>
      <c r="M18" s="48">
        <v>3.5</v>
      </c>
    </row>
    <row r="19" spans="1:13">
      <c r="A19" s="31" t="s">
        <v>331</v>
      </c>
      <c r="B19" s="33">
        <f>SUM(C19:F19)</f>
        <v>0</v>
      </c>
      <c r="C19" s="34">
        <v>0</v>
      </c>
      <c r="D19" s="34">
        <v>0</v>
      </c>
      <c r="E19" s="34">
        <v>0</v>
      </c>
      <c r="F19" s="33">
        <v>0</v>
      </c>
      <c r="G19" s="48">
        <v>1</v>
      </c>
      <c r="H19" s="48"/>
      <c r="I19" s="48">
        <v>1</v>
      </c>
      <c r="J19" s="48"/>
      <c r="K19" s="48">
        <f>SUM(G19:J19)</f>
        <v>2</v>
      </c>
      <c r="L19" s="48">
        <f>+((C19+D19+E19+F19)-(G19+H19+I19+J19))*-1</f>
        <v>2</v>
      </c>
      <c r="M19" s="48">
        <v>3</v>
      </c>
    </row>
    <row r="20" spans="1:13">
      <c r="A20" s="31" t="s">
        <v>332</v>
      </c>
      <c r="B20" s="33">
        <f>SUM(C20:F20)</f>
        <v>0</v>
      </c>
      <c r="C20" s="34">
        <v>0</v>
      </c>
      <c r="D20" s="34">
        <v>0</v>
      </c>
      <c r="E20" s="34">
        <v>0</v>
      </c>
      <c r="F20" s="34">
        <v>0</v>
      </c>
      <c r="G20" s="48">
        <v>1</v>
      </c>
      <c r="H20" s="48"/>
      <c r="I20" s="48">
        <v>1</v>
      </c>
      <c r="J20" s="48">
        <v>1</v>
      </c>
      <c r="K20" s="48">
        <f>SUM(G20:J20)</f>
        <v>3</v>
      </c>
      <c r="L20" s="48">
        <f>+((C20+D20+E20+F20)-(G20+H20+I20+J20))*-1</f>
        <v>3</v>
      </c>
      <c r="M20" s="48">
        <v>4.5</v>
      </c>
    </row>
    <row r="21" spans="1:13">
      <c r="A21" s="31" t="s">
        <v>333</v>
      </c>
      <c r="B21" s="33">
        <f>SUM(C21:F21)</f>
        <v>0</v>
      </c>
      <c r="C21" s="34">
        <v>0</v>
      </c>
      <c r="D21" s="34">
        <v>0</v>
      </c>
      <c r="E21" s="34">
        <v>0</v>
      </c>
      <c r="F21" s="34">
        <v>0</v>
      </c>
      <c r="G21" s="48">
        <v>1</v>
      </c>
      <c r="H21" s="48"/>
      <c r="I21" s="48"/>
      <c r="J21" s="48">
        <v>1</v>
      </c>
      <c r="K21" s="48">
        <f>SUM(G21:J21)</f>
        <v>2</v>
      </c>
      <c r="L21" s="48">
        <f>+((C21+D21+E21+F21)-(G21+H21+I21+J21))*-1</f>
        <v>2</v>
      </c>
      <c r="M21" s="48">
        <v>2</v>
      </c>
    </row>
    <row r="22" spans="1:13">
      <c r="A22" s="31" t="s">
        <v>334</v>
      </c>
      <c r="B22" s="33">
        <f t="shared" ref="B22" si="4">SUM(C22:F22)</f>
        <v>0</v>
      </c>
      <c r="C22" s="34">
        <v>0</v>
      </c>
      <c r="D22" s="34">
        <v>0</v>
      </c>
      <c r="E22" s="34">
        <v>0</v>
      </c>
      <c r="F22" s="34">
        <v>0</v>
      </c>
      <c r="G22" s="48"/>
      <c r="H22" s="48"/>
      <c r="I22" s="48"/>
      <c r="J22" s="48"/>
      <c r="K22" s="48">
        <f>SUM(G22:J22)</f>
        <v>0</v>
      </c>
      <c r="L22" s="48">
        <f>+((C22+D22+E22+F22)-(G22+H22+I22+J22))*-1</f>
        <v>0</v>
      </c>
      <c r="M22" s="48"/>
    </row>
    <row r="23" spans="1:13">
      <c r="A23" s="31" t="s">
        <v>335</v>
      </c>
      <c r="B23" s="33">
        <f>SUM(C23:F23)</f>
        <v>0</v>
      </c>
      <c r="C23" s="34">
        <v>0</v>
      </c>
      <c r="D23" s="34">
        <v>0</v>
      </c>
      <c r="E23" s="34">
        <v>0</v>
      </c>
      <c r="F23" s="33">
        <v>0</v>
      </c>
      <c r="G23" s="48">
        <v>1</v>
      </c>
      <c r="H23" s="48">
        <v>1</v>
      </c>
      <c r="I23" s="48"/>
      <c r="J23" s="48"/>
      <c r="K23" s="48">
        <f>SUM(G23:J23)</f>
        <v>2</v>
      </c>
      <c r="L23" s="48">
        <f>+((C23+D23+E23+F23)-(G23+H23+I23+J23))*-1</f>
        <v>2</v>
      </c>
      <c r="M23" s="48">
        <v>2</v>
      </c>
    </row>
    <row r="24" spans="1:13">
      <c r="A24" s="31" t="s">
        <v>337</v>
      </c>
      <c r="B24" s="33">
        <f>SUM(C24:F24)</f>
        <v>0</v>
      </c>
      <c r="C24" s="34">
        <v>0</v>
      </c>
      <c r="D24" s="34">
        <v>0</v>
      </c>
      <c r="E24" s="34">
        <v>0</v>
      </c>
      <c r="F24" s="34">
        <v>0</v>
      </c>
      <c r="G24" s="48"/>
      <c r="H24" s="48">
        <v>1</v>
      </c>
      <c r="I24" s="48"/>
      <c r="J24" s="48"/>
      <c r="K24" s="48">
        <f>SUM(G24:J24)</f>
        <v>1</v>
      </c>
      <c r="L24" s="48">
        <f>+((C24+D24+E24+F24)-(G24+H24+I24+J24))*-1</f>
        <v>1</v>
      </c>
      <c r="M24" s="48">
        <v>1</v>
      </c>
    </row>
    <row r="25" spans="1:13">
      <c r="A25" s="32" t="s">
        <v>268</v>
      </c>
      <c r="B25" s="33">
        <f>SUM(C25:F25)</f>
        <v>5</v>
      </c>
      <c r="C25" s="34">
        <v>1</v>
      </c>
      <c r="D25" s="34">
        <v>1</v>
      </c>
      <c r="E25" s="34">
        <v>1</v>
      </c>
      <c r="F25" s="34">
        <v>2</v>
      </c>
      <c r="G25" s="34">
        <v>4</v>
      </c>
      <c r="H25" s="35">
        <v>1</v>
      </c>
      <c r="I25" s="35">
        <v>3</v>
      </c>
      <c r="J25" s="35">
        <v>4</v>
      </c>
      <c r="K25" s="48">
        <f>SUM(G25:J25)</f>
        <v>12</v>
      </c>
      <c r="L25" s="48">
        <f>+((C25+D25+E25+F25)-(G25+H25+I25+J25))*-1</f>
        <v>7</v>
      </c>
      <c r="M25" s="108">
        <v>33</v>
      </c>
    </row>
    <row r="26" spans="1:13">
      <c r="A26" s="36" t="s">
        <v>269</v>
      </c>
      <c r="B26" s="33">
        <f>SUM(C26:F26)</f>
        <v>5</v>
      </c>
      <c r="C26" s="37">
        <v>1</v>
      </c>
      <c r="D26" s="37">
        <v>1</v>
      </c>
      <c r="E26" s="37">
        <v>1</v>
      </c>
      <c r="F26" s="37">
        <v>2</v>
      </c>
      <c r="G26" s="38">
        <v>1</v>
      </c>
      <c r="H26" s="39"/>
      <c r="I26" s="39">
        <v>3</v>
      </c>
      <c r="J26" s="39">
        <v>3</v>
      </c>
      <c r="K26" s="48">
        <f>SUM(G26:J26)</f>
        <v>7</v>
      </c>
      <c r="L26" s="48">
        <f>+((C26+D26+E26+F26)-(G26+H26+I26+J26))*-1</f>
        <v>2</v>
      </c>
      <c r="M26" s="109">
        <v>99</v>
      </c>
    </row>
    <row r="27" spans="1:13">
      <c r="A27" s="40" t="s">
        <v>161</v>
      </c>
      <c r="B27" s="33">
        <f>SUM(C27:F27)</f>
        <v>88</v>
      </c>
      <c r="C27" s="41">
        <f t="shared" ref="C27:F27" si="5">SUM(C8:C26)</f>
        <v>22</v>
      </c>
      <c r="D27" s="41">
        <f>SUM(D8:D26)</f>
        <v>25</v>
      </c>
      <c r="E27" s="41">
        <f>SUM(E8:E26)</f>
        <v>21</v>
      </c>
      <c r="F27" s="41">
        <f>SUM(F8:F26)</f>
        <v>20</v>
      </c>
      <c r="G27" s="41">
        <f>SUM(G9:G26)</f>
        <v>28</v>
      </c>
      <c r="H27" s="41">
        <f>SUM(H9:H26)</f>
        <v>15</v>
      </c>
      <c r="I27" s="41">
        <f t="shared" ref="I27:M27" si="6">SUM(I8:I26)</f>
        <v>19</v>
      </c>
      <c r="J27" s="41">
        <f>SUM(J8:J26)</f>
        <v>23</v>
      </c>
      <c r="K27" s="48">
        <f>SUM(G27:J27)</f>
        <v>85</v>
      </c>
      <c r="L27" s="48">
        <f>+((C27+D27+E27+F27)-(G27+H27+I27+J27))*-1</f>
        <v>-3</v>
      </c>
      <c r="M27" s="110">
        <f>SUM(M8:M26)</f>
        <v>238</v>
      </c>
    </row>
    <row r="28" spans="1:15">
      <c r="A28" s="42" t="s">
        <v>40</v>
      </c>
      <c r="B28" s="43"/>
      <c r="C28" s="44" t="s">
        <v>14</v>
      </c>
      <c r="D28" s="45"/>
      <c r="E28" s="45"/>
      <c r="F28" s="46"/>
      <c r="G28" s="44"/>
      <c r="H28" s="45"/>
      <c r="I28" s="45"/>
      <c r="J28" s="46"/>
      <c r="K28" s="83"/>
      <c r="L28" s="84"/>
      <c r="M28" s="84"/>
      <c r="N28" s="111"/>
      <c r="O28" s="90"/>
    </row>
    <row r="29" ht="25.5" spans="1:15">
      <c r="A29" s="47" t="s">
        <v>16</v>
      </c>
      <c r="B29" s="47" t="s">
        <v>17</v>
      </c>
      <c r="C29" s="47" t="s">
        <v>152</v>
      </c>
      <c r="D29" s="47" t="s">
        <v>154</v>
      </c>
      <c r="E29" s="47" t="s">
        <v>123</v>
      </c>
      <c r="F29" s="47" t="s">
        <v>107</v>
      </c>
      <c r="G29" s="47" t="s">
        <v>152</v>
      </c>
      <c r="H29" s="47" t="s">
        <v>278</v>
      </c>
      <c r="I29" s="47" t="s">
        <v>123</v>
      </c>
      <c r="J29" s="47" t="s">
        <v>107</v>
      </c>
      <c r="K29" s="47" t="s">
        <v>22</v>
      </c>
      <c r="L29" s="47" t="s">
        <v>41</v>
      </c>
      <c r="M29" s="47" t="s">
        <v>42</v>
      </c>
      <c r="N29" s="89"/>
      <c r="O29" s="90"/>
    </row>
    <row r="30" spans="1:15">
      <c r="A30" s="29" t="s">
        <v>265</v>
      </c>
      <c r="B30" s="48">
        <f>SUM(C30:F30)</f>
        <v>12</v>
      </c>
      <c r="C30" s="35">
        <v>2.5</v>
      </c>
      <c r="D30" s="34">
        <v>3</v>
      </c>
      <c r="E30" s="34">
        <v>3.5</v>
      </c>
      <c r="F30" s="34">
        <v>3</v>
      </c>
      <c r="G30" s="49">
        <f>+(32710+38540+13700+26590+31840+61100+62300+16300)/100000</f>
        <v>2.8308</v>
      </c>
      <c r="H30" s="50">
        <f>+(27320+43700+29840+95120+3500+72200+52600)/100000</f>
        <v>3.2428</v>
      </c>
      <c r="I30" s="50">
        <f>+(51700+22500+95300+33720+39930+25280)/100000</f>
        <v>2.6843</v>
      </c>
      <c r="J30" s="76">
        <f>+(119120+29070+22200+33205+56600+25210)/100000</f>
        <v>2.85405</v>
      </c>
      <c r="K30" s="76">
        <f>SUM(G30:J30)</f>
        <v>11.61195</v>
      </c>
      <c r="L30" s="50">
        <f>+((C30+D30+E30+F30)-(G30+H30+I30+J30))*-1</f>
        <v>-0.38805</v>
      </c>
      <c r="M30" s="91">
        <f>+K30/B30</f>
        <v>0.9676625</v>
      </c>
      <c r="N30" s="89"/>
      <c r="O30" s="90"/>
    </row>
    <row r="31" spans="1:15">
      <c r="A31" s="29" t="s">
        <v>222</v>
      </c>
      <c r="B31" s="48">
        <f t="shared" ref="B31:B38" si="7">SUM(C31:F31)</f>
        <v>10.5</v>
      </c>
      <c r="C31" s="35">
        <v>2.5</v>
      </c>
      <c r="D31" s="34">
        <v>3</v>
      </c>
      <c r="E31" s="34">
        <v>2.5</v>
      </c>
      <c r="F31" s="34">
        <v>2.5</v>
      </c>
      <c r="G31" s="49">
        <f>+(16400+20800+30200+16400+100400+16900+7800)/100000</f>
        <v>2.089</v>
      </c>
      <c r="H31" s="50">
        <f>+(13600+58300+38300+17300+50350+32500+3200)/100000</f>
        <v>2.1355</v>
      </c>
      <c r="I31" s="50">
        <f>+(23300+32700+62600+15000+20000+14700+21500+10500)/100000</f>
        <v>2.003</v>
      </c>
      <c r="J31" s="50">
        <f>+(30100+11500+28700+39400+28400+34900+44500)/100000</f>
        <v>2.175</v>
      </c>
      <c r="K31" s="76">
        <f t="shared" ref="K31:K46" si="8">SUM(G31:J31)</f>
        <v>8.4025</v>
      </c>
      <c r="L31" s="50">
        <f t="shared" ref="L31:L46" si="9">+((C31+D31+E31+F31)-(G31+H31+I31+J31))*-1</f>
        <v>-2.0975</v>
      </c>
      <c r="M31" s="91">
        <f t="shared" ref="M31:M46" si="10">+K31/B31</f>
        <v>0.800238095238095</v>
      </c>
      <c r="N31" s="89"/>
      <c r="O31" s="90"/>
    </row>
    <row r="32" spans="1:15">
      <c r="A32" s="29" t="s">
        <v>266</v>
      </c>
      <c r="B32" s="48">
        <f>SUM(C32:F32)</f>
        <v>10.5</v>
      </c>
      <c r="C32" s="35">
        <v>2.5</v>
      </c>
      <c r="D32" s="34">
        <v>2.5</v>
      </c>
      <c r="E32" s="34">
        <v>2.5</v>
      </c>
      <c r="F32" s="34">
        <v>3</v>
      </c>
      <c r="G32" s="49">
        <f>+(20900+10500+10100+14200+16800+11400+14000)/100000</f>
        <v>0.979</v>
      </c>
      <c r="H32" s="50">
        <f>+(39100+243200+12500+39800+48350+14600)/100000</f>
        <v>3.9755</v>
      </c>
      <c r="I32" s="50">
        <f>+(27000+12400+18700+15850+19650+21600)/100000</f>
        <v>1.152</v>
      </c>
      <c r="J32" s="50">
        <f>+(22000+11600+39100+10900+32450+26950+53700)/100000</f>
        <v>1.967</v>
      </c>
      <c r="K32" s="76">
        <f>SUM(G32:J32)</f>
        <v>8.0735</v>
      </c>
      <c r="L32" s="50">
        <f>+((C32+D32+E32+F32)-(G32+H32+I32+J32))*-1</f>
        <v>-2.4265</v>
      </c>
      <c r="M32" s="91">
        <f>+K32/B32</f>
        <v>0.768904761904762</v>
      </c>
      <c r="N32" s="92"/>
      <c r="O32" s="93"/>
    </row>
    <row r="33" spans="1:15">
      <c r="A33" s="29" t="s">
        <v>209</v>
      </c>
      <c r="B33" s="48">
        <f>SUM(C33:F33)</f>
        <v>12</v>
      </c>
      <c r="C33" s="34">
        <v>2.5</v>
      </c>
      <c r="D33" s="34">
        <v>3</v>
      </c>
      <c r="E33" s="34">
        <v>3</v>
      </c>
      <c r="F33" s="34">
        <v>3.5</v>
      </c>
      <c r="G33" s="49">
        <f>+(19000+18100+18000+21200+24500+34700+27800)/100000</f>
        <v>1.633</v>
      </c>
      <c r="H33" s="50">
        <f>+(31100+56300+42000+52900+48100+13000)/100000</f>
        <v>2.434</v>
      </c>
      <c r="I33" s="50">
        <f>+(19400+33700+30400+45400+40800+57600)/100000</f>
        <v>2.273</v>
      </c>
      <c r="J33" s="50">
        <f>+(54400+32700+26000+16600+27100+21800+30700)/100000</f>
        <v>2.093</v>
      </c>
      <c r="K33" s="76">
        <f>SUM(G33:J33)</f>
        <v>8.433</v>
      </c>
      <c r="L33" s="50">
        <f>+((C33+D33+E33+F33)-(G33+H33+I33+J33))*-1</f>
        <v>-3.567</v>
      </c>
      <c r="M33" s="91">
        <f>+K33/B33</f>
        <v>0.70275</v>
      </c>
      <c r="N33" s="92"/>
      <c r="O33" s="93"/>
    </row>
    <row r="34" spans="1:15">
      <c r="A34" s="29" t="s">
        <v>338</v>
      </c>
      <c r="B34" s="48">
        <f>SUM(C34:F34)</f>
        <v>8</v>
      </c>
      <c r="C34" s="34">
        <v>2</v>
      </c>
      <c r="D34" s="34">
        <v>1.5</v>
      </c>
      <c r="E34" s="34">
        <v>2</v>
      </c>
      <c r="F34" s="34">
        <v>2.5</v>
      </c>
      <c r="G34" s="49">
        <f>+(910)/100000</f>
        <v>0.0091</v>
      </c>
      <c r="H34" s="50">
        <f>+(8200+8800)/100000</f>
        <v>0.17</v>
      </c>
      <c r="I34" s="50">
        <f>+(15000+8800)/100000</f>
        <v>0.238</v>
      </c>
      <c r="J34" s="50">
        <f>+(90000+17600)/100000</f>
        <v>1.076</v>
      </c>
      <c r="K34" s="76">
        <f>SUM(G34:J34)</f>
        <v>1.4931</v>
      </c>
      <c r="L34" s="50">
        <f>+((C34+D34+E34+F34)-(G34+H34+I34+J34))*-1</f>
        <v>-6.5069</v>
      </c>
      <c r="M34" s="91">
        <f>+K34/B34</f>
        <v>0.1866375</v>
      </c>
      <c r="N34" s="92"/>
      <c r="O34" s="93"/>
    </row>
    <row r="35" spans="1:15">
      <c r="A35" s="51" t="s">
        <v>293</v>
      </c>
      <c r="B35" s="48">
        <f t="shared" ref="B35:B36" si="11">SUM(C35:F35)</f>
        <v>12</v>
      </c>
      <c r="C35" s="35">
        <v>2.5</v>
      </c>
      <c r="D35" s="34">
        <v>3</v>
      </c>
      <c r="E35" s="34">
        <v>3</v>
      </c>
      <c r="F35" s="34">
        <v>3.5</v>
      </c>
      <c r="G35" s="49">
        <f>+(52150+33300+22400+30000+40900+47780+43100)/100000</f>
        <v>2.6963</v>
      </c>
      <c r="H35" s="50">
        <f>+(55600+51000+54420+50300+51500+20400)/100000</f>
        <v>2.8322</v>
      </c>
      <c r="I35" s="50">
        <f>+(40020+77200+73400+57700+93100+65050)/100000</f>
        <v>4.0647</v>
      </c>
      <c r="J35" s="50">
        <f>+(74900+45250+53750+49350+61180+37900+119500)/100000</f>
        <v>4.4183</v>
      </c>
      <c r="K35" s="76">
        <f t="shared" ref="K35:K36" si="12">SUM(G35:J35)</f>
        <v>14.0115</v>
      </c>
      <c r="L35" s="50">
        <f>+((C35+D35+E35+F35)-(G35+H35+I35+J35))*-1</f>
        <v>2.0115</v>
      </c>
      <c r="M35" s="91">
        <f>+K35/B35</f>
        <v>1.167625</v>
      </c>
      <c r="N35" s="92"/>
      <c r="O35" s="93"/>
    </row>
    <row r="36" spans="1:15">
      <c r="A36" s="51" t="s">
        <v>261</v>
      </c>
      <c r="B36" s="48">
        <f>SUM(C36:F36)</f>
        <v>6</v>
      </c>
      <c r="C36" s="35">
        <v>1.5</v>
      </c>
      <c r="D36" s="34">
        <v>1</v>
      </c>
      <c r="E36" s="34">
        <v>1.5</v>
      </c>
      <c r="F36" s="34">
        <v>2</v>
      </c>
      <c r="G36" s="49">
        <f>+(15500+24000+24000+7000+35700+22600+22900)/100000</f>
        <v>1.517</v>
      </c>
      <c r="H36" s="50">
        <f>+(16800+23400+25500+49100+23100+18750)/100000</f>
        <v>1.5665</v>
      </c>
      <c r="I36" s="50">
        <f>+(17000+24000+23900+19700+30050+24800)/100000</f>
        <v>1.3945</v>
      </c>
      <c r="J36" s="50">
        <f>+(7700+22400+23500+22400+22600+21500+30100)/100000</f>
        <v>1.502</v>
      </c>
      <c r="K36" s="76">
        <f>SUM(G36:J36)</f>
        <v>5.98</v>
      </c>
      <c r="L36" s="50">
        <f>+((C36+D36+E36+F36)-(G36+H36+I36+J36))*-1</f>
        <v>-0.0200000000000005</v>
      </c>
      <c r="M36" s="91">
        <f>+K36/B36</f>
        <v>0.996666666666667</v>
      </c>
      <c r="N36" s="92"/>
      <c r="O36" s="93"/>
    </row>
    <row r="37" spans="1:15">
      <c r="A37" s="51" t="s">
        <v>263</v>
      </c>
      <c r="B37" s="48">
        <f>SUM(C37:F37)</f>
        <v>7</v>
      </c>
      <c r="C37" s="35">
        <v>1.5</v>
      </c>
      <c r="D37" s="52">
        <v>1.75</v>
      </c>
      <c r="E37" s="52">
        <v>2</v>
      </c>
      <c r="F37" s="52">
        <v>1.75</v>
      </c>
      <c r="G37" s="49">
        <f>+(18000+21300+23250+20000+11800+28150)/100000</f>
        <v>1.225</v>
      </c>
      <c r="H37" s="50">
        <f>+(23500+38700+53950+23250+34040+13800)/100000</f>
        <v>1.8724</v>
      </c>
      <c r="I37" s="50">
        <f>+(22800+11900+10600+32850+29400+20300)/100000</f>
        <v>1.2785</v>
      </c>
      <c r="J37" s="50">
        <f>+(21700+19800+16600+21300+23800+20400+15100)/100000</f>
        <v>1.387</v>
      </c>
      <c r="K37" s="76">
        <f>SUM(G37:J37)</f>
        <v>5.7629</v>
      </c>
      <c r="L37" s="50">
        <f>+((C37+D37+E37+F37)-(G37+H37+I37+J37))*-1</f>
        <v>-1.2371</v>
      </c>
      <c r="M37" s="91">
        <f>+K37/B37</f>
        <v>0.823271428571429</v>
      </c>
      <c r="N37" s="94"/>
      <c r="O37" s="95"/>
    </row>
    <row r="38" spans="1:15">
      <c r="A38" s="51" t="s">
        <v>271</v>
      </c>
      <c r="B38" s="48">
        <f>SUM(C38:F38)</f>
        <v>10</v>
      </c>
      <c r="C38" s="35">
        <v>2</v>
      </c>
      <c r="D38" s="52">
        <v>2.5</v>
      </c>
      <c r="E38" s="52">
        <v>2.5</v>
      </c>
      <c r="F38" s="52">
        <v>3</v>
      </c>
      <c r="G38" s="49">
        <f>+(10200+19200+18900+13200+13000+2700+11700)/100000</f>
        <v>0.889</v>
      </c>
      <c r="H38" s="50">
        <f>+(11600+209400+15700+32900+3200)/100000</f>
        <v>2.728</v>
      </c>
      <c r="I38" s="50">
        <f>+(260400+17600+6000+107400+10000+10800)/100000</f>
        <v>4.122</v>
      </c>
      <c r="J38" s="50">
        <f>+(109100+86600+6300+6500+9200+24100+25400)/100000</f>
        <v>2.672</v>
      </c>
      <c r="K38" s="76">
        <f>SUM(G38:J38)</f>
        <v>10.411</v>
      </c>
      <c r="L38" s="50">
        <f>+((C38+D38+E38+F38)-(G38+H38+I38+J38))*-1</f>
        <v>0.411</v>
      </c>
      <c r="M38" s="91">
        <f>+K38/B38</f>
        <v>1.0411</v>
      </c>
      <c r="N38" s="92"/>
      <c r="O38" s="93"/>
    </row>
    <row r="39" spans="1:15">
      <c r="A39" s="51" t="s">
        <v>262</v>
      </c>
      <c r="B39" s="48">
        <f t="shared" ref="B39:B46" si="13">SUM(C39:F39)</f>
        <v>10.5</v>
      </c>
      <c r="C39" s="35">
        <v>2</v>
      </c>
      <c r="D39" s="52">
        <v>3</v>
      </c>
      <c r="E39" s="52">
        <v>2.5</v>
      </c>
      <c r="F39" s="52">
        <v>3</v>
      </c>
      <c r="G39" s="49">
        <f>+(9800+20400+18800+66900+190300+12200+24100)/100000</f>
        <v>3.425</v>
      </c>
      <c r="H39" s="50">
        <f>+(21100+40750+21700+26750+26000+63600)/100000</f>
        <v>1.999</v>
      </c>
      <c r="I39" s="50">
        <f>+(26400+19600+29500+16250+18500+33100)/100000</f>
        <v>1.4335</v>
      </c>
      <c r="J39" s="50">
        <f>+(43485+40060+25500+12900+33100+33300+15350)/100000</f>
        <v>2.03695</v>
      </c>
      <c r="K39" s="76">
        <f>SUM(G39:J39)</f>
        <v>8.89445</v>
      </c>
      <c r="L39" s="50">
        <f>+((C39+D39+E39+F39)-(G39+H39+I39+J39))*-1</f>
        <v>-1.60555</v>
      </c>
      <c r="M39" s="91">
        <f>+K39/B39</f>
        <v>0.847090476190476</v>
      </c>
      <c r="N39" s="92"/>
      <c r="O39" s="93"/>
    </row>
    <row r="40" spans="1:15">
      <c r="A40" s="51" t="s">
        <v>172</v>
      </c>
      <c r="B40" s="48">
        <f>SUM(C40:F40)</f>
        <v>10</v>
      </c>
      <c r="C40" s="35">
        <v>2.5</v>
      </c>
      <c r="D40" s="52">
        <v>3</v>
      </c>
      <c r="E40" s="52">
        <v>2.5</v>
      </c>
      <c r="F40" s="52">
        <v>2</v>
      </c>
      <c r="G40" s="49">
        <f>+(13900+13000+16300+18000+47400+17800+10800)/100000</f>
        <v>1.372</v>
      </c>
      <c r="H40" s="50">
        <f>+(91700+15600+42050+18750+14500+11300)/100000</f>
        <v>1.939</v>
      </c>
      <c r="I40" s="50">
        <f>+(65400+10400+40900+42500+45100+50300)/100000</f>
        <v>2.546</v>
      </c>
      <c r="J40" s="50">
        <f>+(10600+43900+54300+19700+56600+7600+18950)/100000</f>
        <v>2.1165</v>
      </c>
      <c r="K40" s="76">
        <f>SUM(G40:J40)</f>
        <v>7.9735</v>
      </c>
      <c r="L40" s="50">
        <f>+((C40+D40+E40+F40)-(G40+H40+I40+J40))*-1</f>
        <v>-2.0265</v>
      </c>
      <c r="M40" s="91">
        <f>+K40/B40</f>
        <v>0.79735</v>
      </c>
      <c r="N40" s="92"/>
      <c r="O40" s="93"/>
    </row>
    <row r="41" spans="1:15">
      <c r="A41" s="51" t="s">
        <v>141</v>
      </c>
      <c r="B41" s="48">
        <f>SUM(C41:F41)</f>
        <v>11</v>
      </c>
      <c r="C41" s="35">
        <v>2.25</v>
      </c>
      <c r="D41" s="52">
        <v>3</v>
      </c>
      <c r="E41" s="52">
        <v>2.75</v>
      </c>
      <c r="F41" s="52">
        <v>3</v>
      </c>
      <c r="G41" s="49">
        <f>+(15750+22880+13200+20150+19850+15550+11700)/100000</f>
        <v>1.1908</v>
      </c>
      <c r="H41" s="50">
        <f>+(32290+36100+20600+28650+35400+38450)/100000</f>
        <v>1.9149</v>
      </c>
      <c r="I41" s="50">
        <f>+(22650+19400+20600+24700+28800+26650)/100000</f>
        <v>1.428</v>
      </c>
      <c r="J41" s="50">
        <f>+(21700+10850+21500+32350+18850+22100+14800)/100000</f>
        <v>1.4215</v>
      </c>
      <c r="K41" s="76">
        <f>SUM(G41:J41)</f>
        <v>5.9552</v>
      </c>
      <c r="L41" s="50">
        <f>+((C41+D41+E41+F41)-(G41+H41+I41+J41))*-1</f>
        <v>-5.0448</v>
      </c>
      <c r="M41" s="91">
        <f>+K41/B41</f>
        <v>0.541381818181818</v>
      </c>
      <c r="N41" s="92"/>
      <c r="O41" s="93"/>
    </row>
    <row r="42" spans="1:15">
      <c r="A42" s="51" t="s">
        <v>267</v>
      </c>
      <c r="B42" s="48">
        <f>SUM(C42:F42)</f>
        <v>10.5</v>
      </c>
      <c r="C42" s="35">
        <v>2</v>
      </c>
      <c r="D42" s="52">
        <v>3</v>
      </c>
      <c r="E42" s="52">
        <v>3</v>
      </c>
      <c r="F42" s="52">
        <v>2.5</v>
      </c>
      <c r="G42" s="49">
        <f>+(24300+31650+23550+47000+25100+67960+25700)/100000</f>
        <v>2.4526</v>
      </c>
      <c r="H42" s="50">
        <f>+(23900+190100+36720+52200+48350+5800)/100000</f>
        <v>3.5707</v>
      </c>
      <c r="I42" s="50">
        <f>+(27250+53000+43700+70455+30340+23500)/100000</f>
        <v>2.48245</v>
      </c>
      <c r="J42" s="50">
        <f>+(46750+20200+66020+40100+32100+35050+27000)/100000</f>
        <v>2.6722</v>
      </c>
      <c r="K42" s="76">
        <f>SUM(G42:J42)</f>
        <v>11.17795</v>
      </c>
      <c r="L42" s="50">
        <f>+((C42+D42+E42+F42)-(G42+H42+I42+J42))*-1</f>
        <v>0.677949999999999</v>
      </c>
      <c r="M42" s="91">
        <f>+K42/B42</f>
        <v>1.06456666666667</v>
      </c>
      <c r="N42" s="92"/>
      <c r="O42" s="93"/>
    </row>
    <row r="43" spans="1:15">
      <c r="A43" s="53" t="s">
        <v>290</v>
      </c>
      <c r="B43" s="48">
        <f>SUM(C43:F43)</f>
        <v>6.5</v>
      </c>
      <c r="C43" s="35">
        <v>1</v>
      </c>
      <c r="D43" s="52">
        <v>1.5</v>
      </c>
      <c r="E43" s="52">
        <v>1.5</v>
      </c>
      <c r="F43" s="52">
        <v>2.5</v>
      </c>
      <c r="G43" s="49">
        <f>+(5200+50000+27400+2400+3400+20400)/100000</f>
        <v>1.088</v>
      </c>
      <c r="H43" s="50">
        <f>+(7400+7400+8800+5400)/100000</f>
        <v>0.29</v>
      </c>
      <c r="I43" s="50">
        <f>+(52000+52800+13000)/100000</f>
        <v>1.178</v>
      </c>
      <c r="J43" s="50">
        <f>+(221000+20000+8800+4200+114400+5700+17600+4300)/100000</f>
        <v>3.96</v>
      </c>
      <c r="K43" s="76">
        <f>SUM(G43:J43)</f>
        <v>6.516</v>
      </c>
      <c r="L43" s="50">
        <f>+((C43+D43+E43+F43)-(G43+H43+I43+J43))*-1</f>
        <v>0.016</v>
      </c>
      <c r="M43" s="91">
        <f>+K43/B43</f>
        <v>1.00246153846154</v>
      </c>
      <c r="N43" s="92"/>
      <c r="O43" s="93"/>
    </row>
    <row r="44" spans="1:15">
      <c r="A44" s="53" t="s">
        <v>35</v>
      </c>
      <c r="B44" s="48">
        <f>SUM(C44:F44)</f>
        <v>2</v>
      </c>
      <c r="C44" s="35">
        <v>0.5</v>
      </c>
      <c r="D44" s="52">
        <v>0.5</v>
      </c>
      <c r="E44" s="52">
        <v>0.5</v>
      </c>
      <c r="F44" s="52">
        <v>0.5</v>
      </c>
      <c r="G44" s="49"/>
      <c r="H44" s="50"/>
      <c r="I44" s="50"/>
      <c r="J44" s="50">
        <f>+(54600+201861)/100000</f>
        <v>2.56461</v>
      </c>
      <c r="K44" s="76">
        <f>SUM(G44:J44)</f>
        <v>2.56461</v>
      </c>
      <c r="L44" s="50">
        <f>+((C44+D44+E44+F44)-(G44+H44+I44+J44))*-1</f>
        <v>0.56461</v>
      </c>
      <c r="M44" s="91">
        <f>+K44/B44</f>
        <v>1.282305</v>
      </c>
      <c r="N44" s="92"/>
      <c r="O44" s="93"/>
    </row>
    <row r="45" spans="1:15">
      <c r="A45" s="53" t="s">
        <v>38</v>
      </c>
      <c r="B45" s="48">
        <f>SUM(C45:F45)</f>
        <v>22</v>
      </c>
      <c r="C45" s="35">
        <v>5</v>
      </c>
      <c r="D45" s="52">
        <v>5</v>
      </c>
      <c r="E45" s="52">
        <v>6</v>
      </c>
      <c r="F45" s="52">
        <v>6</v>
      </c>
      <c r="G45" s="49">
        <f>+(16000+200+16000+500+20000+200+8800+17655+2000+63150+200+200+1800+16000+200+1500+10000+13200+200+1600+36575+1000+200+2200+45300)/100000</f>
        <v>2.7468</v>
      </c>
      <c r="H45" s="50">
        <f>+(57305+10000+41883+4550+47600+10400+3300+200+3500+27445+2800+11800+1450+2700+16320)/100000</f>
        <v>2.41253</v>
      </c>
      <c r="I45" s="50">
        <f>+(200+1100+1000+5235+26000+1900+6500+40800+200+1600+15000+400000+237660+155960+41965+500+1000+200+23000+52500+22000+800+40010)/100000</f>
        <v>10.7513</v>
      </c>
      <c r="J45" s="50">
        <f>+(233630+900+800+64870+6950+172200+50000+800+176770+10+950+700+40000+8800+1380+1800+350+8800+33050+11500+18000+1050+200+28208)/100000</f>
        <v>8.61718</v>
      </c>
      <c r="K45" s="76">
        <f>SUM(G45:J45)</f>
        <v>24.52781</v>
      </c>
      <c r="L45" s="50">
        <f>+((C45+D45+E45+F45)-(G45+H45+I45+J45))*-1</f>
        <v>2.52781</v>
      </c>
      <c r="M45" s="91">
        <f>+K45/B45</f>
        <v>1.11490045454545</v>
      </c>
      <c r="N45" s="92"/>
      <c r="O45" s="93"/>
    </row>
    <row r="46" spans="1:15">
      <c r="A46" s="54" t="s">
        <v>44</v>
      </c>
      <c r="B46" s="48">
        <f>SUM(C46:F46)</f>
        <v>160.5</v>
      </c>
      <c r="C46" s="35">
        <f t="shared" ref="C46:J46" si="14">SUM(C30:C45)</f>
        <v>34.75</v>
      </c>
      <c r="D46" s="48">
        <f>SUM(D30:D45)</f>
        <v>40.25</v>
      </c>
      <c r="E46" s="48">
        <f>SUM(E30:E45)</f>
        <v>41.25</v>
      </c>
      <c r="F46" s="48">
        <f>SUM(F30:F45)</f>
        <v>44.25</v>
      </c>
      <c r="G46" s="49">
        <f>SUM(G30:G45)</f>
        <v>26.1434</v>
      </c>
      <c r="H46" s="50">
        <f>SUM(H30:H45)</f>
        <v>33.08303</v>
      </c>
      <c r="I46" s="50">
        <f>SUM(I30:I45)</f>
        <v>39.02925</v>
      </c>
      <c r="J46" s="50">
        <f>SUM(J30:J45)</f>
        <v>43.53329</v>
      </c>
      <c r="K46" s="76">
        <f>SUM(G46:J46)</f>
        <v>141.78897</v>
      </c>
      <c r="L46" s="50">
        <f>+((C46+D46+E46+F46)-(G46+H46+I46+J46))*-1</f>
        <v>-18.71103</v>
      </c>
      <c r="M46" s="91">
        <f>+K46/B46</f>
        <v>0.883420373831776</v>
      </c>
      <c r="N46" s="92"/>
      <c r="O46" s="93"/>
    </row>
    <row r="47" spans="1:15">
      <c r="A47" s="55"/>
      <c r="B47" s="56"/>
      <c r="C47" s="57"/>
      <c r="N47" s="94"/>
      <c r="O47" s="95"/>
    </row>
    <row r="48" spans="14:15">
      <c r="N48" s="92"/>
      <c r="O48" s="93"/>
    </row>
    <row r="49" spans="14:15">
      <c r="N49" s="92"/>
      <c r="O49" s="93"/>
    </row>
    <row r="50" spans="2:15">
      <c r="B50" s="1"/>
      <c r="N50" s="92"/>
      <c r="O50" s="93"/>
    </row>
    <row r="51" spans="2:15">
      <c r="B51" s="1"/>
      <c r="N51" s="92"/>
      <c r="O51" s="93"/>
    </row>
    <row r="52" spans="2:15">
      <c r="B52" s="1"/>
      <c r="N52" s="92"/>
      <c r="O52" s="93"/>
    </row>
    <row r="53" spans="2:15">
      <c r="B53" s="1"/>
      <c r="N53" s="92"/>
      <c r="O53" s="93"/>
    </row>
    <row r="54" spans="2:15">
      <c r="B54" s="1"/>
      <c r="N54" s="92"/>
      <c r="O54" s="93"/>
    </row>
    <row r="55" spans="2:15">
      <c r="B55" s="1"/>
      <c r="N55" s="92"/>
      <c r="O55" s="93"/>
    </row>
    <row r="56" spans="2:15">
      <c r="B56" s="1"/>
      <c r="N56" s="92"/>
      <c r="O56" s="93"/>
    </row>
    <row r="57" spans="2:15">
      <c r="B57" s="1"/>
      <c r="N57" s="94"/>
      <c r="O57" s="95"/>
    </row>
    <row r="58" spans="2:15">
      <c r="B58" s="1"/>
      <c r="N58" s="92"/>
      <c r="O58" s="93"/>
    </row>
    <row r="59" spans="2:15">
      <c r="B59" s="1"/>
      <c r="N59" s="92"/>
      <c r="O59" s="93"/>
    </row>
    <row r="60" spans="2:15">
      <c r="B60" s="1"/>
      <c r="N60" s="92"/>
      <c r="O60" s="93"/>
    </row>
    <row r="61" spans="2:15">
      <c r="B61" s="1"/>
      <c r="N61" s="92"/>
      <c r="O61" s="93"/>
    </row>
    <row r="62" spans="2:15">
      <c r="B62" s="1"/>
      <c r="N62" s="92"/>
      <c r="O62" s="93"/>
    </row>
    <row r="63" spans="2:15">
      <c r="B63" s="1"/>
      <c r="N63" s="92"/>
      <c r="O63" s="93"/>
    </row>
    <row r="64" spans="2:15">
      <c r="B64" s="1"/>
      <c r="N64" s="92"/>
      <c r="O64" s="93"/>
    </row>
    <row r="65" spans="2:15">
      <c r="B65" s="1"/>
      <c r="N65" s="94"/>
      <c r="O65" s="95"/>
    </row>
    <row r="66" spans="2:15">
      <c r="B66" s="1"/>
      <c r="N66" s="92"/>
      <c r="O66" s="93"/>
    </row>
    <row r="67" spans="2:15">
      <c r="B67" s="1"/>
      <c r="N67" s="92"/>
      <c r="O67" s="93"/>
    </row>
    <row r="68" spans="2:15">
      <c r="B68" s="1"/>
      <c r="N68" s="92"/>
      <c r="O68" s="93"/>
    </row>
    <row r="69" spans="2:15">
      <c r="B69" s="1"/>
      <c r="N69" s="92"/>
      <c r="O69" s="93"/>
    </row>
    <row r="70" spans="2:15">
      <c r="B70" s="1"/>
      <c r="N70" s="92"/>
      <c r="O70" s="93"/>
    </row>
    <row r="71" spans="2:15">
      <c r="B71" s="1"/>
      <c r="N71" s="92"/>
      <c r="O71" s="93"/>
    </row>
    <row r="72" spans="2:15">
      <c r="B72" s="1"/>
      <c r="N72" s="92"/>
      <c r="O72" s="93"/>
    </row>
    <row r="73" spans="2:15">
      <c r="B73" s="1"/>
      <c r="N73" s="92"/>
      <c r="O73" s="96"/>
    </row>
  </sheetData>
  <mergeCells count="5">
    <mergeCell ref="D5:F5"/>
    <mergeCell ref="C6:F6"/>
    <mergeCell ref="G6:J6"/>
    <mergeCell ref="C28:F28"/>
    <mergeCell ref="G28:J28"/>
  </mergeCells>
  <pageMargins left="0.699305555555556" right="0.699305555555556" top="0.75" bottom="0.75" header="0.3" footer="0.3"/>
  <pageSetup paperSize="9" orientation="landscape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4"/>
  <sheetViews>
    <sheetView workbookViewId="0">
      <selection activeCell="L10" sqref="L10"/>
    </sheetView>
  </sheetViews>
  <sheetFormatPr defaultColWidth="9" defaultRowHeight="15"/>
  <cols>
    <col min="1" max="1" width="17.4285714285714" style="1" customWidth="1"/>
    <col min="2" max="2" width="9" style="2" customWidth="1"/>
    <col min="3" max="3" width="8.42857142857143" style="1" customWidth="1"/>
    <col min="4" max="4" width="8.57142857142857" style="1" customWidth="1"/>
    <col min="5" max="5" width="8.28571428571429" style="1" customWidth="1"/>
    <col min="6" max="6" width="8.71428571428571" style="1" customWidth="1"/>
    <col min="7" max="7" width="8.28571428571429" style="1" customWidth="1"/>
    <col min="8" max="8" width="8.85714285714286" style="1" customWidth="1"/>
    <col min="9" max="9" width="10.1428571428571" style="1" customWidth="1"/>
    <col min="10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ht="13.5" customHeight="1" spans="1:13">
      <c r="A1" s="3" t="s">
        <v>345</v>
      </c>
      <c r="B1" s="4" t="s">
        <v>346</v>
      </c>
      <c r="C1" s="5"/>
      <c r="D1" s="5"/>
      <c r="E1" s="5"/>
      <c r="F1" s="5"/>
      <c r="G1" s="5"/>
      <c r="H1" s="5"/>
      <c r="I1" s="5"/>
      <c r="J1" s="5"/>
      <c r="K1" s="5"/>
      <c r="L1" s="5"/>
      <c r="M1" s="58"/>
    </row>
    <row r="2" spans="1:13">
      <c r="A2" s="6" t="s">
        <v>311</v>
      </c>
      <c r="B2" s="7">
        <f>+K18</f>
        <v>68</v>
      </c>
      <c r="C2" s="8"/>
      <c r="D2" s="8"/>
      <c r="E2" s="8"/>
      <c r="F2" s="8"/>
      <c r="G2" s="9"/>
      <c r="H2" s="10"/>
      <c r="I2" s="59"/>
      <c r="J2" s="10"/>
      <c r="K2" s="10"/>
      <c r="L2" s="10"/>
      <c r="M2" s="104"/>
    </row>
    <row r="3" ht="12" customHeight="1" spans="1:13">
      <c r="A3" s="6" t="s">
        <v>312</v>
      </c>
      <c r="B3" s="7">
        <f>+M18</f>
        <v>168.5</v>
      </c>
      <c r="C3" s="8"/>
      <c r="D3" s="8"/>
      <c r="E3" s="8"/>
      <c r="F3" s="8"/>
      <c r="G3" s="9"/>
      <c r="H3" s="10"/>
      <c r="I3" s="10"/>
      <c r="J3" s="10"/>
      <c r="K3" s="10"/>
      <c r="L3" s="61"/>
      <c r="M3" s="105"/>
    </row>
    <row r="4" spans="1:13">
      <c r="A4" s="6" t="s">
        <v>347</v>
      </c>
      <c r="B4" s="11"/>
      <c r="C4" s="12"/>
      <c r="D4" s="13" t="s">
        <v>177</v>
      </c>
      <c r="E4" s="12"/>
      <c r="F4" s="12"/>
      <c r="G4" s="14" t="s">
        <v>78</v>
      </c>
      <c r="H4" s="15"/>
      <c r="I4" s="62" t="s">
        <v>7</v>
      </c>
      <c r="J4" s="13">
        <f>+K37</f>
        <v>145.00609</v>
      </c>
      <c r="K4" s="12" t="s">
        <v>8</v>
      </c>
      <c r="L4" s="12" t="s">
        <v>149</v>
      </c>
      <c r="M4" s="106"/>
    </row>
    <row r="5" spans="1:13">
      <c r="A5" s="16" t="s">
        <v>10</v>
      </c>
      <c r="B5" s="17" t="s">
        <v>348</v>
      </c>
      <c r="C5" s="18" t="s">
        <v>113</v>
      </c>
      <c r="D5" s="19">
        <v>15544500</v>
      </c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2.5" customHeight="1" spans="1:13">
      <c r="A7" s="25" t="s">
        <v>16</v>
      </c>
      <c r="B7" s="25" t="s">
        <v>317</v>
      </c>
      <c r="C7" s="25" t="s">
        <v>152</v>
      </c>
      <c r="D7" s="25" t="s">
        <v>153</v>
      </c>
      <c r="E7" s="25" t="s">
        <v>123</v>
      </c>
      <c r="F7" s="25" t="s">
        <v>106</v>
      </c>
      <c r="G7" s="25" t="s">
        <v>152</v>
      </c>
      <c r="H7" s="25" t="s">
        <v>154</v>
      </c>
      <c r="I7" s="25" t="s">
        <v>155</v>
      </c>
      <c r="J7" s="25" t="s">
        <v>107</v>
      </c>
      <c r="K7" s="25" t="s">
        <v>22</v>
      </c>
      <c r="L7" s="25" t="s">
        <v>23</v>
      </c>
      <c r="M7" s="25" t="s">
        <v>318</v>
      </c>
    </row>
    <row r="8" ht="16.5" customHeight="1" spans="1:13">
      <c r="A8" s="112" t="s">
        <v>298</v>
      </c>
      <c r="B8" s="33">
        <f>SUM(C8:F8)</f>
        <v>2</v>
      </c>
      <c r="C8" s="33">
        <v>0</v>
      </c>
      <c r="D8" s="33">
        <v>1</v>
      </c>
      <c r="E8" s="33">
        <v>1</v>
      </c>
      <c r="F8" s="33">
        <v>0</v>
      </c>
      <c r="G8" s="33"/>
      <c r="H8" s="33"/>
      <c r="I8" s="33"/>
      <c r="J8" s="33"/>
      <c r="K8" s="48">
        <f>SUM(G8:J8)</f>
        <v>0</v>
      </c>
      <c r="L8" s="48">
        <f>+((C8+D8+E8+F8)-(G8+H8+I8+J8))*-1</f>
        <v>-2</v>
      </c>
      <c r="M8" s="113"/>
    </row>
    <row r="9" spans="1:13">
      <c r="A9" s="29" t="s">
        <v>324</v>
      </c>
      <c r="B9" s="33">
        <f t="shared" ref="B9:B18" si="0">SUM(C9:F9)</f>
        <v>12</v>
      </c>
      <c r="C9" s="34">
        <v>3</v>
      </c>
      <c r="D9" s="34">
        <v>3</v>
      </c>
      <c r="E9" s="34">
        <v>3</v>
      </c>
      <c r="F9" s="33">
        <v>3</v>
      </c>
      <c r="G9" s="48">
        <v>3</v>
      </c>
      <c r="H9" s="48">
        <v>6</v>
      </c>
      <c r="I9" s="48">
        <v>3</v>
      </c>
      <c r="J9" s="48">
        <v>3</v>
      </c>
      <c r="K9" s="48">
        <f t="shared" ref="K9:K18" si="1">SUM(G9:J9)</f>
        <v>15</v>
      </c>
      <c r="L9" s="48">
        <f t="shared" ref="L9:L18" si="2">+((C9+D9+E9+F9)-(G9+H9+I9+J9))*-1</f>
        <v>3</v>
      </c>
      <c r="M9" s="78">
        <v>19.5</v>
      </c>
    </row>
    <row r="10" spans="1:13">
      <c r="A10" s="29" t="s">
        <v>325</v>
      </c>
      <c r="B10" s="33">
        <f>SUM(C10:F10)</f>
        <v>12</v>
      </c>
      <c r="C10" s="34">
        <v>3</v>
      </c>
      <c r="D10" s="34">
        <v>3</v>
      </c>
      <c r="E10" s="34">
        <v>3</v>
      </c>
      <c r="F10" s="33">
        <v>3</v>
      </c>
      <c r="G10" s="48">
        <v>1</v>
      </c>
      <c r="H10" s="48">
        <v>1</v>
      </c>
      <c r="I10" s="48">
        <v>3</v>
      </c>
      <c r="J10" s="48">
        <v>1</v>
      </c>
      <c r="K10" s="48">
        <f>SUM(G10:J10)</f>
        <v>6</v>
      </c>
      <c r="L10" s="48">
        <f>+((C10+D10+E10+F10)-(G10+H10+I10+J10))*-1</f>
        <v>-6</v>
      </c>
      <c r="M10" s="78">
        <v>28.5</v>
      </c>
    </row>
    <row r="11" spans="1:13">
      <c r="A11" s="29" t="s">
        <v>326</v>
      </c>
      <c r="B11" s="33">
        <f>SUM(C11:F11)</f>
        <v>12</v>
      </c>
      <c r="C11" s="34">
        <v>3</v>
      </c>
      <c r="D11" s="34">
        <v>3</v>
      </c>
      <c r="E11" s="34">
        <v>3</v>
      </c>
      <c r="F11" s="33">
        <v>3</v>
      </c>
      <c r="G11" s="48">
        <v>1</v>
      </c>
      <c r="H11" s="48"/>
      <c r="I11" s="48"/>
      <c r="J11" s="48">
        <v>1</v>
      </c>
      <c r="K11" s="48">
        <f>SUM(G11:J11)</f>
        <v>2</v>
      </c>
      <c r="L11" s="48">
        <f>+((C11+D11+E11+F11)-(G11+H11+I11+J11))*-1</f>
        <v>-10</v>
      </c>
      <c r="M11" s="78">
        <v>1.5</v>
      </c>
    </row>
    <row r="12" spans="1:13">
      <c r="A12" s="29" t="s">
        <v>349</v>
      </c>
      <c r="B12" s="33">
        <f>SUM(C12:F12)</f>
        <v>12</v>
      </c>
      <c r="C12" s="34">
        <v>3</v>
      </c>
      <c r="D12" s="34">
        <v>3</v>
      </c>
      <c r="E12" s="34">
        <v>3</v>
      </c>
      <c r="F12" s="33">
        <v>3</v>
      </c>
      <c r="G12" s="48">
        <v>6</v>
      </c>
      <c r="H12" s="48">
        <v>6</v>
      </c>
      <c r="I12" s="48">
        <v>4</v>
      </c>
      <c r="J12" s="48">
        <v>4</v>
      </c>
      <c r="K12" s="48">
        <f>SUM(G12:J12)</f>
        <v>20</v>
      </c>
      <c r="L12" s="48">
        <f>+((C12+D12+E12+F12)-(G12+H12+I12+J12))*-1</f>
        <v>8</v>
      </c>
      <c r="M12" s="48">
        <v>64</v>
      </c>
    </row>
    <row r="13" spans="1:13">
      <c r="A13" s="29" t="s">
        <v>328</v>
      </c>
      <c r="B13" s="33">
        <f>SUM(C13:F13)</f>
        <v>6</v>
      </c>
      <c r="C13" s="34">
        <v>1</v>
      </c>
      <c r="D13" s="34">
        <v>2</v>
      </c>
      <c r="E13" s="34">
        <v>2</v>
      </c>
      <c r="F13" s="33">
        <v>1</v>
      </c>
      <c r="G13" s="48"/>
      <c r="H13" s="48"/>
      <c r="I13" s="48"/>
      <c r="J13" s="48">
        <v>2</v>
      </c>
      <c r="K13" s="48">
        <f>SUM(G13:J13)</f>
        <v>2</v>
      </c>
      <c r="L13" s="48">
        <f>+((C13+D13+E13+F13)-(G13+H13+I13+J13))*-1</f>
        <v>-4</v>
      </c>
      <c r="M13" s="48">
        <v>2.5</v>
      </c>
    </row>
    <row r="14" spans="1:13">
      <c r="A14" s="29" t="s">
        <v>350</v>
      </c>
      <c r="B14" s="33">
        <f>SUM(C14:F14)</f>
        <v>6</v>
      </c>
      <c r="C14" s="34">
        <v>2</v>
      </c>
      <c r="D14" s="34">
        <v>2</v>
      </c>
      <c r="E14" s="34">
        <v>1</v>
      </c>
      <c r="F14" s="34">
        <v>1</v>
      </c>
      <c r="G14" s="48"/>
      <c r="H14" s="48">
        <v>2</v>
      </c>
      <c r="I14" s="48">
        <v>2</v>
      </c>
      <c r="J14" s="48">
        <v>1</v>
      </c>
      <c r="K14" s="48">
        <f>SUM(G14:J14)</f>
        <v>5</v>
      </c>
      <c r="L14" s="48">
        <f>+((C14+D14+E14+F14)-(G14+H14+I14+J14))*-1</f>
        <v>-1</v>
      </c>
      <c r="M14" s="48">
        <v>6</v>
      </c>
    </row>
    <row r="15" spans="1:13">
      <c r="A15" s="29" t="s">
        <v>330</v>
      </c>
      <c r="B15" s="33">
        <f t="shared" ref="B15" si="3">SUM(C15:F15)</f>
        <v>6</v>
      </c>
      <c r="C15" s="34">
        <v>2</v>
      </c>
      <c r="D15" s="34">
        <v>2</v>
      </c>
      <c r="E15" s="34">
        <v>1</v>
      </c>
      <c r="F15" s="34">
        <v>1</v>
      </c>
      <c r="G15" s="48"/>
      <c r="H15" s="48"/>
      <c r="I15" s="48"/>
      <c r="J15" s="48"/>
      <c r="K15" s="48">
        <f>SUM(G15:J15)</f>
        <v>0</v>
      </c>
      <c r="L15" s="48">
        <f>+((C15+D15+E15+F15)-(G15+H15+I15+J15))*-1</f>
        <v>-6</v>
      </c>
      <c r="M15" s="48">
        <v>0</v>
      </c>
    </row>
    <row r="16" spans="1:13">
      <c r="A16" s="32" t="s">
        <v>268</v>
      </c>
      <c r="B16" s="33">
        <f>SUM(C16:F16)</f>
        <v>15</v>
      </c>
      <c r="C16" s="34">
        <v>4</v>
      </c>
      <c r="D16" s="34">
        <v>5</v>
      </c>
      <c r="E16" s="34">
        <v>3</v>
      </c>
      <c r="F16" s="34">
        <v>3</v>
      </c>
      <c r="G16" s="34">
        <v>1</v>
      </c>
      <c r="H16" s="35">
        <v>2</v>
      </c>
      <c r="I16" s="35">
        <v>2</v>
      </c>
      <c r="J16" s="35">
        <v>5</v>
      </c>
      <c r="K16" s="48">
        <f>SUM(G16:J16)</f>
        <v>10</v>
      </c>
      <c r="L16" s="48">
        <f>+((C16+D16+E16+F16)-(G16+H16+I16+J16))*-1</f>
        <v>-5</v>
      </c>
      <c r="M16" s="108">
        <v>18.5</v>
      </c>
    </row>
    <row r="17" spans="1:13">
      <c r="A17" s="36" t="s">
        <v>269</v>
      </c>
      <c r="B17" s="33">
        <f>SUM(C17:F17)</f>
        <v>5</v>
      </c>
      <c r="C17" s="37">
        <v>1</v>
      </c>
      <c r="D17" s="37">
        <v>1</v>
      </c>
      <c r="E17" s="37">
        <v>1</v>
      </c>
      <c r="F17" s="37">
        <v>2</v>
      </c>
      <c r="G17" s="38">
        <v>1</v>
      </c>
      <c r="H17" s="39">
        <v>2</v>
      </c>
      <c r="I17" s="39">
        <v>2</v>
      </c>
      <c r="J17" s="39">
        <v>3</v>
      </c>
      <c r="K17" s="48">
        <f>SUM(G17:J17)</f>
        <v>8</v>
      </c>
      <c r="L17" s="48">
        <f>+((C17+D17+E17+F17)-(G17+H17+I17+J17))*-1</f>
        <v>3</v>
      </c>
      <c r="M17" s="109">
        <v>28</v>
      </c>
    </row>
    <row r="18" spans="1:13">
      <c r="A18" s="40" t="s">
        <v>161</v>
      </c>
      <c r="B18" s="33">
        <f>SUM(C18:F18)</f>
        <v>88</v>
      </c>
      <c r="C18" s="41">
        <f t="shared" ref="C18:F18" si="4">SUM(C8:C17)</f>
        <v>22</v>
      </c>
      <c r="D18" s="41">
        <f>SUM(D8:D17)</f>
        <v>25</v>
      </c>
      <c r="E18" s="41">
        <f>SUM(E8:E17)</f>
        <v>21</v>
      </c>
      <c r="F18" s="41">
        <f>SUM(F8:F17)</f>
        <v>20</v>
      </c>
      <c r="G18" s="41">
        <f>SUM(G9:G17)</f>
        <v>13</v>
      </c>
      <c r="H18" s="41">
        <f>SUM(H9:H17)</f>
        <v>19</v>
      </c>
      <c r="I18" s="41">
        <f t="shared" ref="I18:M18" si="5">SUM(I8:I17)</f>
        <v>16</v>
      </c>
      <c r="J18" s="41">
        <f>SUM(J8:J17)</f>
        <v>20</v>
      </c>
      <c r="K18" s="48">
        <f>SUM(G18:J18)</f>
        <v>68</v>
      </c>
      <c r="L18" s="48">
        <f>+((C18+D18+E18+F18)-(G18+H18+I18+J18))*-1</f>
        <v>-20</v>
      </c>
      <c r="M18" s="110">
        <f>SUM(M8:M17)</f>
        <v>168.5</v>
      </c>
    </row>
    <row r="19" spans="1:15">
      <c r="A19" s="42" t="s">
        <v>40</v>
      </c>
      <c r="B19" s="43"/>
      <c r="C19" s="44" t="s">
        <v>14</v>
      </c>
      <c r="D19" s="45"/>
      <c r="E19" s="45"/>
      <c r="F19" s="46"/>
      <c r="G19" s="44"/>
      <c r="H19" s="45"/>
      <c r="I19" s="45"/>
      <c r="J19" s="46"/>
      <c r="K19" s="83"/>
      <c r="L19" s="84"/>
      <c r="M19" s="84"/>
      <c r="N19" s="111"/>
      <c r="O19" s="90"/>
    </row>
    <row r="20" ht="25.5" spans="1:15">
      <c r="A20" s="47" t="s">
        <v>16</v>
      </c>
      <c r="B20" s="47" t="s">
        <v>17</v>
      </c>
      <c r="C20" s="47" t="s">
        <v>152</v>
      </c>
      <c r="D20" s="47" t="s">
        <v>154</v>
      </c>
      <c r="E20" s="47" t="s">
        <v>123</v>
      </c>
      <c r="F20" s="47" t="s">
        <v>107</v>
      </c>
      <c r="G20" s="47" t="s">
        <v>152</v>
      </c>
      <c r="H20" s="47" t="s">
        <v>278</v>
      </c>
      <c r="I20" s="47" t="s">
        <v>123</v>
      </c>
      <c r="J20" s="47" t="s">
        <v>107</v>
      </c>
      <c r="K20" s="47" t="s">
        <v>22</v>
      </c>
      <c r="L20" s="47" t="s">
        <v>41</v>
      </c>
      <c r="M20" s="47" t="s">
        <v>42</v>
      </c>
      <c r="N20" s="89"/>
      <c r="O20" s="90"/>
    </row>
    <row r="21" spans="1:15">
      <c r="A21" s="29" t="s">
        <v>265</v>
      </c>
      <c r="B21" s="48">
        <f>SUM(C21:F21)</f>
        <v>12</v>
      </c>
      <c r="C21" s="35">
        <v>2.5</v>
      </c>
      <c r="D21" s="34">
        <v>3</v>
      </c>
      <c r="E21" s="34">
        <v>3.5</v>
      </c>
      <c r="F21" s="34">
        <v>3</v>
      </c>
      <c r="G21" s="49">
        <f>+(9900+57080+29100+12600+88065+12500+8800)/100000</f>
        <v>2.18045</v>
      </c>
      <c r="H21" s="50">
        <f>+(89340+95700+42320+63325+17000+154170+32990)/100000</f>
        <v>4.94845</v>
      </c>
      <c r="I21" s="50">
        <f>+(42100+109600+30440+23900+49850)/100000</f>
        <v>2.5589</v>
      </c>
      <c r="J21" s="76">
        <f>+(65960+50000+33640+26620+48560+38490+15620)/100000</f>
        <v>2.7889</v>
      </c>
      <c r="K21" s="76">
        <f>SUM(G21:J21)</f>
        <v>12.4767</v>
      </c>
      <c r="L21" s="50">
        <f>+((C21+D21+E21+F21)-(G21+H21+I21+J21))*-1</f>
        <v>0.476699999999999</v>
      </c>
      <c r="M21" s="91">
        <f>+K21/B21</f>
        <v>1.039725</v>
      </c>
      <c r="N21" s="89"/>
      <c r="O21" s="90"/>
    </row>
    <row r="22" spans="1:15">
      <c r="A22" s="29" t="s">
        <v>222</v>
      </c>
      <c r="B22" s="48">
        <f t="shared" ref="B22:B29" si="6">SUM(C22:F22)</f>
        <v>10.5</v>
      </c>
      <c r="C22" s="35">
        <v>2.5</v>
      </c>
      <c r="D22" s="34">
        <v>3</v>
      </c>
      <c r="E22" s="34">
        <v>2.5</v>
      </c>
      <c r="F22" s="34">
        <v>2.5</v>
      </c>
      <c r="G22" s="49">
        <f>+(4400+90000+56250+17800+27560+36400+25300+12200)/100000</f>
        <v>2.6991</v>
      </c>
      <c r="H22" s="50">
        <f>+(49300+27500+23500+11000+13000+21300)/100000</f>
        <v>1.456</v>
      </c>
      <c r="I22" s="50">
        <f>+(36400+26000+25400+13900+9100+8800+49000+17000)/100000</f>
        <v>1.856</v>
      </c>
      <c r="J22" s="50">
        <f>+(40600+22200+40000+13680+15300+41500+53100)/100000</f>
        <v>2.2638</v>
      </c>
      <c r="K22" s="76">
        <f t="shared" ref="K22:K37" si="7">SUM(G22:J22)</f>
        <v>8.2749</v>
      </c>
      <c r="L22" s="50">
        <f t="shared" ref="L22:L37" si="8">+((C22+D22+E22+F22)-(G22+H22+I22+J22))*-1</f>
        <v>-2.2251</v>
      </c>
      <c r="M22" s="91">
        <f t="shared" ref="M22:M37" si="9">+K22/B22</f>
        <v>0.788085714285714</v>
      </c>
      <c r="N22" s="89"/>
      <c r="O22" s="90"/>
    </row>
    <row r="23" spans="1:15">
      <c r="A23" s="29" t="s">
        <v>266</v>
      </c>
      <c r="B23" s="48">
        <f>SUM(C23:F23)</f>
        <v>10.5</v>
      </c>
      <c r="C23" s="35">
        <v>2.5</v>
      </c>
      <c r="D23" s="34">
        <v>2.5</v>
      </c>
      <c r="E23" s="34">
        <v>2.5</v>
      </c>
      <c r="F23" s="34">
        <v>3</v>
      </c>
      <c r="G23" s="49">
        <f>+(9800+17400+24950+44200+13300+12100+228200)/100000</f>
        <v>3.4995</v>
      </c>
      <c r="H23" s="50">
        <f>+(19650+18900+12900+15900+17100+30200+18050)/100000</f>
        <v>1.327</v>
      </c>
      <c r="I23" s="50">
        <f>+(20900+68300+10200+25900+39826)/100000</f>
        <v>1.65126</v>
      </c>
      <c r="J23" s="50">
        <f>+(28800+10700+16500+11500+10100+28464)/100000</f>
        <v>1.06064</v>
      </c>
      <c r="K23" s="76">
        <f>SUM(G23:J23)</f>
        <v>7.5384</v>
      </c>
      <c r="L23" s="50">
        <f>+((C23+D23+E23+F23)-(G23+H23+I23+J23))*-1</f>
        <v>-2.9616</v>
      </c>
      <c r="M23" s="91">
        <f>+K23/B23</f>
        <v>0.717942857142857</v>
      </c>
      <c r="N23" s="92"/>
      <c r="O23" s="93"/>
    </row>
    <row r="24" spans="1:15">
      <c r="A24" s="29" t="s">
        <v>209</v>
      </c>
      <c r="B24" s="48">
        <f>SUM(C24:F24)</f>
        <v>12</v>
      </c>
      <c r="C24" s="34">
        <v>2.5</v>
      </c>
      <c r="D24" s="34">
        <v>3</v>
      </c>
      <c r="E24" s="34">
        <v>3</v>
      </c>
      <c r="F24" s="34">
        <v>3.5</v>
      </c>
      <c r="G24" s="49">
        <f>+(22700+32170+41600+33575+27800+44200+39000)/100000</f>
        <v>2.41045</v>
      </c>
      <c r="H24" s="50">
        <f>+(60300+38360+20900+28570+30300+34160+22600)/100000</f>
        <v>2.3519</v>
      </c>
      <c r="I24" s="50">
        <f>+(44200+35400+37000+18700+106000)/100000</f>
        <v>2.413</v>
      </c>
      <c r="J24" s="50">
        <f>+(36600+14700+25100+10000+44500+29380+26700+10000)/100000</f>
        <v>1.9698</v>
      </c>
      <c r="K24" s="76">
        <f>SUM(G24:J24)</f>
        <v>9.14515</v>
      </c>
      <c r="L24" s="50">
        <f>+((C24+D24+E24+F24)-(G24+H24+I24+J24))*-1</f>
        <v>-2.85485</v>
      </c>
      <c r="M24" s="91">
        <f>+K24/B24</f>
        <v>0.762095833333333</v>
      </c>
      <c r="N24" s="92"/>
      <c r="O24" s="93"/>
    </row>
    <row r="25" spans="1:15">
      <c r="A25" s="29" t="s">
        <v>338</v>
      </c>
      <c r="B25" s="48">
        <f>SUM(C25:F25)</f>
        <v>7.5</v>
      </c>
      <c r="C25" s="34">
        <v>1.5</v>
      </c>
      <c r="D25" s="34">
        <v>2</v>
      </c>
      <c r="E25" s="34">
        <v>2</v>
      </c>
      <c r="F25" s="34">
        <v>2</v>
      </c>
      <c r="G25" s="49">
        <f>+(10000+8800)/100000</f>
        <v>0.188</v>
      </c>
      <c r="H25" s="50">
        <f>+(8800)/100000</f>
        <v>0.088</v>
      </c>
      <c r="I25" s="50">
        <f>+(13800)/100000</f>
        <v>0.138</v>
      </c>
      <c r="J25" s="50">
        <f>+(100000)/100000</f>
        <v>1</v>
      </c>
      <c r="K25" s="76">
        <f>SUM(G25:J25)</f>
        <v>1.414</v>
      </c>
      <c r="L25" s="50">
        <f>+((C25+D25+E25+F25)-(G25+H25+I25+J25))*-1</f>
        <v>-6.086</v>
      </c>
      <c r="M25" s="91">
        <f>+K25/B25</f>
        <v>0.188533333333333</v>
      </c>
      <c r="N25" s="92"/>
      <c r="O25" s="93"/>
    </row>
    <row r="26" spans="1:15">
      <c r="A26" s="51" t="s">
        <v>293</v>
      </c>
      <c r="B26" s="48">
        <f t="shared" ref="B26:B27" si="10">SUM(C26:F26)</f>
        <v>16.5</v>
      </c>
      <c r="C26" s="35">
        <v>4</v>
      </c>
      <c r="D26" s="34">
        <v>4</v>
      </c>
      <c r="E26" s="34">
        <v>4</v>
      </c>
      <c r="F26" s="34">
        <v>4.5</v>
      </c>
      <c r="G26" s="49">
        <f>+(17800+29550+24500+57150+40100+47900+51300)/100000</f>
        <v>2.683</v>
      </c>
      <c r="H26" s="50">
        <f>+(41300+61500+35540+56406+36400+32500+42600)/100000</f>
        <v>3.06246</v>
      </c>
      <c r="I26" s="50">
        <f>+(126650+83425+66600+39100+117250)/100000</f>
        <v>4.33025</v>
      </c>
      <c r="J26" s="50">
        <f>+(29500+58900+68340+26050+48700+57838)/100000</f>
        <v>2.89328</v>
      </c>
      <c r="K26" s="76">
        <f t="shared" ref="K26:K27" si="11">SUM(G26:J26)</f>
        <v>12.96899</v>
      </c>
      <c r="L26" s="50">
        <f>+((C26+D26+E26+F26)-(G26+H26+I26+J26))*-1</f>
        <v>-3.53101</v>
      </c>
      <c r="M26" s="91">
        <f>+K26/B26</f>
        <v>0.785999393939394</v>
      </c>
      <c r="N26" s="92"/>
      <c r="O26" s="93"/>
    </row>
    <row r="27" spans="1:15">
      <c r="A27" s="51" t="s">
        <v>261</v>
      </c>
      <c r="B27" s="48">
        <f>SUM(C27:F27)</f>
        <v>8</v>
      </c>
      <c r="C27" s="35">
        <v>2</v>
      </c>
      <c r="D27" s="34">
        <v>2</v>
      </c>
      <c r="E27" s="34">
        <v>2</v>
      </c>
      <c r="F27" s="34">
        <v>2</v>
      </c>
      <c r="G27" s="49">
        <f>+(29800+20300+26200+32500+24700+36100+42300)/100000</f>
        <v>2.119</v>
      </c>
      <c r="H27" s="50">
        <f>+(34100+32100+13650+30600+31800+43300+37500)/100000</f>
        <v>2.2305</v>
      </c>
      <c r="I27" s="50">
        <f>+(38550+41350+31600+25200+35750)/100000</f>
        <v>1.7245</v>
      </c>
      <c r="J27" s="50">
        <f>+(31250+355080+34750+33550+24050+32100+51800)/100000</f>
        <v>5.6258</v>
      </c>
      <c r="K27" s="76">
        <f>SUM(G27:J27)</f>
        <v>11.6998</v>
      </c>
      <c r="L27" s="50">
        <f>+((C27+D27+E27+F27)-(G27+H27+I27+J27))*-1</f>
        <v>3.6998</v>
      </c>
      <c r="M27" s="91">
        <f>+K27/B27</f>
        <v>1.462475</v>
      </c>
      <c r="N27" s="92"/>
      <c r="O27" s="93"/>
    </row>
    <row r="28" spans="1:15">
      <c r="A28" s="51" t="s">
        <v>263</v>
      </c>
      <c r="B28" s="48">
        <f>SUM(C28:F28)</f>
        <v>6</v>
      </c>
      <c r="C28" s="35">
        <v>1.5</v>
      </c>
      <c r="D28" s="52">
        <v>1.5</v>
      </c>
      <c r="E28" s="52">
        <v>1.5</v>
      </c>
      <c r="F28" s="52">
        <v>1.5</v>
      </c>
      <c r="G28" s="49">
        <f>+(32900+17600+25450+28720+19650+18800+20000)/100000</f>
        <v>1.6312</v>
      </c>
      <c r="H28" s="50">
        <f>+(36300+31350+27015+53600+17800+56950+23650)/100000</f>
        <v>2.46665</v>
      </c>
      <c r="I28" s="50">
        <f>+(44500+25200+17200+17500+16400)/100000</f>
        <v>1.208</v>
      </c>
      <c r="J28" s="50">
        <f>+(26100+18300+21690+26950+15800+24100)/100000</f>
        <v>1.3294</v>
      </c>
      <c r="K28" s="76">
        <f>SUM(G28:J28)</f>
        <v>6.63525</v>
      </c>
      <c r="L28" s="50">
        <f>+((C28+D28+E28+F28)-(G28+H28+I28+J28))*-1</f>
        <v>0.63525</v>
      </c>
      <c r="M28" s="91">
        <f>+K28/B28</f>
        <v>1.105875</v>
      </c>
      <c r="N28" s="94"/>
      <c r="O28" s="95"/>
    </row>
    <row r="29" spans="1:15">
      <c r="A29" s="51" t="s">
        <v>271</v>
      </c>
      <c r="B29" s="48">
        <f>SUM(C29:F29)</f>
        <v>10</v>
      </c>
      <c r="C29" s="35">
        <v>2.5</v>
      </c>
      <c r="D29" s="52">
        <v>2</v>
      </c>
      <c r="E29" s="52">
        <v>2.5</v>
      </c>
      <c r="F29" s="52">
        <v>3</v>
      </c>
      <c r="G29" s="49">
        <f>+(16800+12300+24200+8200+6600+53600+7600)/100000</f>
        <v>1.293</v>
      </c>
      <c r="H29" s="50">
        <f>+(8200+24200+17500+45100+62700+13300+18900)/100000</f>
        <v>1.899</v>
      </c>
      <c r="I29" s="50">
        <f>+(19000+25800+714700+17000+20100)/100000</f>
        <v>7.966</v>
      </c>
      <c r="J29" s="50">
        <f>+(106400+33100+5300+23100+19100+2400)/100000</f>
        <v>1.894</v>
      </c>
      <c r="K29" s="76">
        <f>SUM(G29:J29)</f>
        <v>13.052</v>
      </c>
      <c r="L29" s="50">
        <f>+((C29+D29+E29+F29)-(G29+H29+I29+J29))*-1</f>
        <v>3.052</v>
      </c>
      <c r="M29" s="91">
        <f>+K29/B29</f>
        <v>1.3052</v>
      </c>
      <c r="N29" s="92"/>
      <c r="O29" s="93"/>
    </row>
    <row r="30" spans="1:15">
      <c r="A30" s="51" t="s">
        <v>262</v>
      </c>
      <c r="B30" s="48">
        <f t="shared" ref="B30:B37" si="12">SUM(C30:F30)</f>
        <v>13.5</v>
      </c>
      <c r="C30" s="35">
        <v>3</v>
      </c>
      <c r="D30" s="52">
        <v>3</v>
      </c>
      <c r="E30" s="52">
        <v>3.5</v>
      </c>
      <c r="F30" s="52">
        <v>4</v>
      </c>
      <c r="G30" s="49">
        <f>+(43050+66800+22000+39900+58875+24000+26600)/100000</f>
        <v>2.81225</v>
      </c>
      <c r="H30" s="50">
        <f>+(49600+178800+27850+46600+28600+45200+48300)/100000</f>
        <v>4.2495</v>
      </c>
      <c r="I30" s="50">
        <f>+(28700+22800+19900+40300+40600)/100000</f>
        <v>1.523</v>
      </c>
      <c r="J30" s="50">
        <f>+(27300+81900+31700+36620+23600+28280)/100000</f>
        <v>2.294</v>
      </c>
      <c r="K30" s="76">
        <f>SUM(G30:J30)</f>
        <v>10.87875</v>
      </c>
      <c r="L30" s="50">
        <f>+((C30+D30+E30+F30)-(G30+H30+I30+J30))*-1</f>
        <v>-2.62125</v>
      </c>
      <c r="M30" s="91">
        <f>+K30/B30</f>
        <v>0.805833333333333</v>
      </c>
      <c r="N30" s="92"/>
      <c r="O30" s="93"/>
    </row>
    <row r="31" spans="1:15">
      <c r="A31" s="51" t="s">
        <v>172</v>
      </c>
      <c r="B31" s="48">
        <f>SUM(C31:F31)</f>
        <v>12</v>
      </c>
      <c r="C31" s="35">
        <v>2.5</v>
      </c>
      <c r="D31" s="52">
        <v>3</v>
      </c>
      <c r="E31" s="52">
        <v>3</v>
      </c>
      <c r="F31" s="52">
        <v>3.5</v>
      </c>
      <c r="G31" s="49">
        <f>+(33800+68125+32000+25700+53800+77800+54700)/100000</f>
        <v>3.45925</v>
      </c>
      <c r="H31" s="50">
        <f>+(35100+21000+25400+26900+28300+40000+57100)/100000</f>
        <v>2.338</v>
      </c>
      <c r="I31" s="50">
        <f>+(26600+20200+35600+50780+27400)/100000</f>
        <v>1.6058</v>
      </c>
      <c r="J31" s="50">
        <f>+(223440+52100+20800+22400+27100+26900)/100000</f>
        <v>3.7274</v>
      </c>
      <c r="K31" s="76">
        <f>SUM(G31:J31)</f>
        <v>11.13045</v>
      </c>
      <c r="L31" s="50">
        <f>+((C31+D31+E31+F31)-(G31+H31+I31+J31))*-1</f>
        <v>-0.86955</v>
      </c>
      <c r="M31" s="91">
        <f>+K31/B31</f>
        <v>0.9275375</v>
      </c>
      <c r="N31" s="92"/>
      <c r="O31" s="93"/>
    </row>
    <row r="32" spans="1:15">
      <c r="A32" s="51" t="s">
        <v>328</v>
      </c>
      <c r="B32" s="48">
        <f>SUM(C32:F32)</f>
        <v>2.5</v>
      </c>
      <c r="C32" s="35">
        <v>0.5</v>
      </c>
      <c r="D32" s="52">
        <v>0.5</v>
      </c>
      <c r="E32" s="52">
        <v>0.5</v>
      </c>
      <c r="F32" s="52">
        <v>1</v>
      </c>
      <c r="G32" s="49">
        <f>+(1200+1400+17900+7400+4000+5150+1100)/100000</f>
        <v>0.3815</v>
      </c>
      <c r="H32" s="50">
        <f>+(6400+2800+6850+5600+1100+3240+2900)/100000</f>
        <v>0.2889</v>
      </c>
      <c r="I32" s="50">
        <f>+(16000+41800+6700+1600+3200)/100000</f>
        <v>0.693</v>
      </c>
      <c r="J32" s="50">
        <f>+(9300+1600+800+5525+4725+1000)/100000</f>
        <v>0.2295</v>
      </c>
      <c r="K32" s="76">
        <f>SUM(G32:J32)</f>
        <v>1.5929</v>
      </c>
      <c r="L32" s="50">
        <f>+((C32+D32+E32+F32)-(G32+H32+I32+J32))*-1</f>
        <v>-0.9071</v>
      </c>
      <c r="M32" s="91">
        <f>+K32/B32</f>
        <v>0.63716</v>
      </c>
      <c r="N32" s="92"/>
      <c r="O32" s="93"/>
    </row>
    <row r="33" spans="1:15">
      <c r="A33" s="51" t="s">
        <v>267</v>
      </c>
      <c r="B33" s="48">
        <f>SUM(C33:F33)</f>
        <v>11.5</v>
      </c>
      <c r="C33" s="35">
        <v>2.5</v>
      </c>
      <c r="D33" s="52">
        <v>3</v>
      </c>
      <c r="E33" s="52">
        <v>3</v>
      </c>
      <c r="F33" s="52">
        <v>3</v>
      </c>
      <c r="G33" s="49">
        <f>+(41100+23700+64960+29900+48700+29200+18600)/100000</f>
        <v>2.5616</v>
      </c>
      <c r="H33" s="50">
        <f>+(34800+48000+33700+26500+29500+179500+33800)/100000</f>
        <v>3.858</v>
      </c>
      <c r="I33" s="50">
        <f>+(111000+37900+24900+63400+31600)/100000</f>
        <v>2.688</v>
      </c>
      <c r="J33" s="50">
        <f>+(38300+32300+37450+21400+34700+44100)/100000</f>
        <v>2.0825</v>
      </c>
      <c r="K33" s="76">
        <f>SUM(G33:J33)</f>
        <v>11.1901</v>
      </c>
      <c r="L33" s="50">
        <f>+((C33+D33+E33+F33)-(G33+H33+I33+J33))*-1</f>
        <v>-0.309900000000001</v>
      </c>
      <c r="M33" s="91">
        <f>+K33/B33</f>
        <v>0.973052173913043</v>
      </c>
      <c r="N33" s="92"/>
      <c r="O33" s="93"/>
    </row>
    <row r="34" spans="1:15">
      <c r="A34" s="53" t="s">
        <v>351</v>
      </c>
      <c r="B34" s="48">
        <f>SUM(C34:F34)</f>
        <v>8</v>
      </c>
      <c r="C34" s="35">
        <v>1.5</v>
      </c>
      <c r="D34" s="52">
        <v>2</v>
      </c>
      <c r="E34" s="52">
        <v>2</v>
      </c>
      <c r="F34" s="52">
        <v>2.5</v>
      </c>
      <c r="G34" s="49">
        <f>+(22500+4500+13600+10300+4500+4500)/100000</f>
        <v>0.599</v>
      </c>
      <c r="H34" s="50">
        <f>+(6700+2800+4200+5100+4100+3900+8600)/100000</f>
        <v>0.354</v>
      </c>
      <c r="I34" s="50">
        <f>+(7100+53000+19700+13800)/100000</f>
        <v>0.936</v>
      </c>
      <c r="J34" s="50">
        <f>+(55300+500+224500+6900+6300+138100)/100000</f>
        <v>4.316</v>
      </c>
      <c r="K34" s="76">
        <f>SUM(G34:J34)</f>
        <v>6.205</v>
      </c>
      <c r="L34" s="50">
        <f>+((C34+D34+E34+F34)-(G34+H34+I34+J34))*-1</f>
        <v>-1.795</v>
      </c>
      <c r="M34" s="91">
        <f>+K34/B34</f>
        <v>0.775625</v>
      </c>
      <c r="N34" s="92"/>
      <c r="O34" s="93"/>
    </row>
    <row r="35" spans="1:15">
      <c r="A35" s="53" t="s">
        <v>35</v>
      </c>
      <c r="B35" s="48">
        <f>SUM(C35:F35)</f>
        <v>1</v>
      </c>
      <c r="C35" s="35">
        <v>0</v>
      </c>
      <c r="D35" s="52">
        <v>0.5</v>
      </c>
      <c r="E35" s="52">
        <v>0</v>
      </c>
      <c r="F35" s="52">
        <v>0.5</v>
      </c>
      <c r="G35" s="49"/>
      <c r="H35" s="50"/>
      <c r="I35" s="50">
        <f>+(61630)/100000</f>
        <v>0.6163</v>
      </c>
      <c r="J35" s="50"/>
      <c r="K35" s="76">
        <f>SUM(G35:J35)</f>
        <v>0.6163</v>
      </c>
      <c r="L35" s="50">
        <f>+((C35+D35+E35+F35)-(G35+H35+I35+J35))*-1</f>
        <v>-0.3837</v>
      </c>
      <c r="M35" s="91">
        <f>+K35/B35</f>
        <v>0.6163</v>
      </c>
      <c r="N35" s="92"/>
      <c r="O35" s="93"/>
    </row>
    <row r="36" spans="1:15">
      <c r="A36" s="53" t="s">
        <v>38</v>
      </c>
      <c r="B36" s="48">
        <f>SUM(C36:F36)</f>
        <v>23.5</v>
      </c>
      <c r="C36" s="35">
        <v>5</v>
      </c>
      <c r="D36" s="52">
        <v>5.5</v>
      </c>
      <c r="E36" s="52">
        <v>6</v>
      </c>
      <c r="F36" s="52">
        <v>7</v>
      </c>
      <c r="G36" s="49">
        <f>+(19000+4600+20600+10100+1350+74825+1650+132000+12000+1000+26700+60420+3300+900+41015+1000+31800+110610)/100000</f>
        <v>5.5287</v>
      </c>
      <c r="H36" s="50">
        <f>+(15200+300+1500+13800+800+80710+6600+900+900+5400+45700+19000+2600+6400+22000+62875+8800+600+1000+400)/100000</f>
        <v>2.95485</v>
      </c>
      <c r="I36" s="50">
        <f>+(4700+1100+92080+800+27395+1200+6900+194485+27480+6700+1000+261000+19800+1200)/100000</f>
        <v>6.4584</v>
      </c>
      <c r="J36" s="50">
        <f>+(1100+35900+77000+118335+64510+800+300+1400+6480+8100+2800+1000+14460+3000+110000+2960+14000+2700+59700)/100000</f>
        <v>5.24545</v>
      </c>
      <c r="K36" s="76">
        <f>SUM(G36:J36)</f>
        <v>20.1874</v>
      </c>
      <c r="L36" s="50">
        <f>+((C36+D36+E36+F36)-(G36+H36+I36+J36))*-1</f>
        <v>-3.3126</v>
      </c>
      <c r="M36" s="91">
        <f>+K36/B36</f>
        <v>0.85903829787234</v>
      </c>
      <c r="N36" s="92"/>
      <c r="O36" s="93"/>
    </row>
    <row r="37" spans="1:15">
      <c r="A37" s="54" t="s">
        <v>44</v>
      </c>
      <c r="B37" s="48">
        <f>SUM(C37:F37)</f>
        <v>165</v>
      </c>
      <c r="C37" s="35">
        <f t="shared" ref="C37:J37" si="13">SUM(C21:C36)</f>
        <v>36.5</v>
      </c>
      <c r="D37" s="48">
        <f>SUM(D21:D36)</f>
        <v>40.5</v>
      </c>
      <c r="E37" s="48">
        <f>SUM(E21:E36)</f>
        <v>41.5</v>
      </c>
      <c r="F37" s="48">
        <f>SUM(F21:F36)</f>
        <v>46.5</v>
      </c>
      <c r="G37" s="49">
        <f>SUM(G21:G36)</f>
        <v>34.046</v>
      </c>
      <c r="H37" s="50">
        <f>SUM(H21:H36)</f>
        <v>33.87321</v>
      </c>
      <c r="I37" s="50">
        <f>SUM(I21:I36)</f>
        <v>38.36641</v>
      </c>
      <c r="J37" s="50">
        <f>SUM(J21:J36)</f>
        <v>38.72047</v>
      </c>
      <c r="K37" s="76">
        <f>SUM(G37:J37)</f>
        <v>145.00609</v>
      </c>
      <c r="L37" s="50">
        <f>+((C37+D37+E37+F37)-(G37+H37+I37+J37))*-1</f>
        <v>-19.99391</v>
      </c>
      <c r="M37" s="91">
        <f>+K37/B37</f>
        <v>0.878824787878788</v>
      </c>
      <c r="N37" s="92"/>
      <c r="O37" s="93"/>
    </row>
    <row r="38" spans="1:15">
      <c r="A38" s="55"/>
      <c r="B38" s="56"/>
      <c r="C38" s="57"/>
      <c r="N38" s="94"/>
      <c r="O38" s="95"/>
    </row>
    <row r="39" spans="14:15">
      <c r="N39" s="92"/>
      <c r="O39" s="93"/>
    </row>
    <row r="40" spans="14:15">
      <c r="N40" s="92"/>
      <c r="O40" s="93"/>
    </row>
    <row r="41" spans="2:15">
      <c r="B41" s="1"/>
      <c r="N41" s="92"/>
      <c r="O41" s="93"/>
    </row>
    <row r="42" spans="2:15">
      <c r="B42" s="1"/>
      <c r="N42" s="92"/>
      <c r="O42" s="93"/>
    </row>
    <row r="43" spans="2:15">
      <c r="B43" s="1"/>
      <c r="N43" s="92"/>
      <c r="O43" s="93"/>
    </row>
    <row r="44" spans="2:15">
      <c r="B44" s="1"/>
      <c r="N44" s="92"/>
      <c r="O44" s="93"/>
    </row>
    <row r="45" spans="2:15">
      <c r="B45" s="1"/>
      <c r="N45" s="92"/>
      <c r="O45" s="93"/>
    </row>
    <row r="46" spans="2:15">
      <c r="B46" s="1"/>
      <c r="N46" s="92"/>
      <c r="O46" s="93"/>
    </row>
    <row r="47" spans="2:15">
      <c r="B47" s="1"/>
      <c r="N47" s="92"/>
      <c r="O47" s="93"/>
    </row>
    <row r="48" spans="2:15">
      <c r="B48" s="1"/>
      <c r="N48" s="94"/>
      <c r="O48" s="95"/>
    </row>
    <row r="49" spans="2:15">
      <c r="B49" s="1"/>
      <c r="N49" s="92"/>
      <c r="O49" s="93"/>
    </row>
    <row r="50" spans="2:15">
      <c r="B50" s="1"/>
      <c r="N50" s="92"/>
      <c r="O50" s="93"/>
    </row>
    <row r="51" spans="2:15">
      <c r="B51" s="1"/>
      <c r="N51" s="92"/>
      <c r="O51" s="93"/>
    </row>
    <row r="52" spans="2:15">
      <c r="B52" s="1"/>
      <c r="N52" s="92"/>
      <c r="O52" s="93"/>
    </row>
    <row r="53" spans="2:15">
      <c r="B53" s="1"/>
      <c r="N53" s="92"/>
      <c r="O53" s="93"/>
    </row>
    <row r="54" spans="2:15">
      <c r="B54" s="1"/>
      <c r="N54" s="92"/>
      <c r="O54" s="93"/>
    </row>
    <row r="55" spans="2:15">
      <c r="B55" s="1"/>
      <c r="N55" s="92"/>
      <c r="O55" s="93"/>
    </row>
    <row r="56" spans="2:15">
      <c r="B56" s="1"/>
      <c r="N56" s="94"/>
      <c r="O56" s="95"/>
    </row>
    <row r="57" spans="2:15">
      <c r="B57" s="1"/>
      <c r="N57" s="92"/>
      <c r="O57" s="93"/>
    </row>
    <row r="58" spans="2:15">
      <c r="B58" s="1"/>
      <c r="N58" s="92"/>
      <c r="O58" s="93"/>
    </row>
    <row r="59" spans="2:15">
      <c r="B59" s="1"/>
      <c r="N59" s="92"/>
      <c r="O59" s="93"/>
    </row>
    <row r="60" spans="2:15">
      <c r="B60" s="1"/>
      <c r="N60" s="92"/>
      <c r="O60" s="93"/>
    </row>
    <row r="61" spans="2:15">
      <c r="B61" s="1"/>
      <c r="N61" s="92"/>
      <c r="O61" s="93"/>
    </row>
    <row r="62" spans="2:15">
      <c r="B62" s="1"/>
      <c r="N62" s="92"/>
      <c r="O62" s="93"/>
    </row>
    <row r="63" spans="2:15">
      <c r="B63" s="1"/>
      <c r="N63" s="92"/>
      <c r="O63" s="93"/>
    </row>
    <row r="64" spans="2:15">
      <c r="B64" s="1"/>
      <c r="N64" s="92"/>
      <c r="O64" s="96"/>
    </row>
  </sheetData>
  <mergeCells count="5">
    <mergeCell ref="D5:F5"/>
    <mergeCell ref="C6:F6"/>
    <mergeCell ref="G6:J6"/>
    <mergeCell ref="C19:F19"/>
    <mergeCell ref="G19:J19"/>
  </mergeCells>
  <pageMargins left="0.699305555555556" right="0.699305555555556" top="0.75" bottom="0.75" header="0.3" footer="0.3"/>
  <pageSetup paperSize="9" orientation="landscape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7"/>
  <sheetViews>
    <sheetView workbookViewId="0">
      <selection activeCell="A4" sqref="1:1048576"/>
    </sheetView>
  </sheetViews>
  <sheetFormatPr defaultColWidth="9" defaultRowHeight="15"/>
  <cols>
    <col min="1" max="1" width="17.4285714285714" style="1" customWidth="1"/>
    <col min="2" max="2" width="9" style="2" customWidth="1"/>
    <col min="3" max="3" width="8.42857142857143" style="1" customWidth="1"/>
    <col min="4" max="4" width="8.57142857142857" style="1" customWidth="1"/>
    <col min="5" max="5" width="8.28571428571429" style="1" customWidth="1"/>
    <col min="6" max="6" width="8.71428571428571" style="1" customWidth="1"/>
    <col min="7" max="7" width="8.28571428571429" style="1" customWidth="1"/>
    <col min="8" max="8" width="8.85714285714286" style="1" customWidth="1"/>
    <col min="9" max="9" width="10.1428571428571" style="1" customWidth="1"/>
    <col min="10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spans="1:13">
      <c r="A1" s="3" t="s">
        <v>352</v>
      </c>
      <c r="B1" s="4" t="s">
        <v>353</v>
      </c>
      <c r="C1" s="5"/>
      <c r="D1" s="5"/>
      <c r="E1" s="5"/>
      <c r="F1" s="5"/>
      <c r="G1" s="5"/>
      <c r="H1" s="5"/>
      <c r="I1" s="5"/>
      <c r="J1" s="5"/>
      <c r="K1" s="5"/>
      <c r="L1" s="5"/>
      <c r="M1" s="58"/>
    </row>
    <row r="2" spans="1:13">
      <c r="A2" s="6" t="s">
        <v>311</v>
      </c>
      <c r="B2" s="7">
        <f>+K19</f>
        <v>61</v>
      </c>
      <c r="C2" s="8"/>
      <c r="D2" s="8"/>
      <c r="E2" s="8"/>
      <c r="F2" s="8"/>
      <c r="G2" s="9"/>
      <c r="H2" s="10"/>
      <c r="I2" s="59"/>
      <c r="J2" s="10"/>
      <c r="K2" s="10"/>
      <c r="L2" s="10"/>
      <c r="M2" s="104"/>
    </row>
    <row r="3" spans="1:13">
      <c r="A3" s="6" t="s">
        <v>312</v>
      </c>
      <c r="B3" s="7">
        <f>+M19</f>
        <v>232.5</v>
      </c>
      <c r="C3" s="8"/>
      <c r="D3" s="8"/>
      <c r="E3" s="8"/>
      <c r="F3" s="8"/>
      <c r="G3" s="9"/>
      <c r="H3" s="10"/>
      <c r="I3" s="10"/>
      <c r="J3" s="10"/>
      <c r="K3" s="10"/>
      <c r="L3" s="61"/>
      <c r="M3" s="105"/>
    </row>
    <row r="4" spans="1:13">
      <c r="A4" s="6" t="s">
        <v>354</v>
      </c>
      <c r="B4" s="11"/>
      <c r="C4" s="12"/>
      <c r="D4" s="13" t="s">
        <v>355</v>
      </c>
      <c r="E4" s="12"/>
      <c r="F4" s="12"/>
      <c r="G4" s="14"/>
      <c r="H4" s="15"/>
      <c r="I4" s="62" t="s">
        <v>7</v>
      </c>
      <c r="J4" s="13">
        <f>+K40</f>
        <v>141.33892</v>
      </c>
      <c r="K4" s="12" t="s">
        <v>8</v>
      </c>
      <c r="L4" s="12" t="s">
        <v>356</v>
      </c>
      <c r="M4" s="106"/>
    </row>
    <row r="5" spans="1:13">
      <c r="A5" s="16" t="s">
        <v>10</v>
      </c>
      <c r="B5" s="17" t="s">
        <v>357</v>
      </c>
      <c r="C5" s="18" t="s">
        <v>12</v>
      </c>
      <c r="D5" s="19">
        <v>13546000</v>
      </c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5.5" spans="1:13">
      <c r="A7" s="25" t="s">
        <v>16</v>
      </c>
      <c r="B7" s="25" t="s">
        <v>317</v>
      </c>
      <c r="C7" s="25" t="s">
        <v>152</v>
      </c>
      <c r="D7" s="25" t="s">
        <v>153</v>
      </c>
      <c r="E7" s="25" t="s">
        <v>123</v>
      </c>
      <c r="F7" s="25" t="s">
        <v>106</v>
      </c>
      <c r="G7" s="25" t="s">
        <v>152</v>
      </c>
      <c r="H7" s="25" t="s">
        <v>154</v>
      </c>
      <c r="I7" s="25" t="s">
        <v>155</v>
      </c>
      <c r="J7" s="25" t="s">
        <v>107</v>
      </c>
      <c r="K7" s="25" t="s">
        <v>22</v>
      </c>
      <c r="L7" s="25" t="s">
        <v>23</v>
      </c>
      <c r="M7" s="25" t="s">
        <v>318</v>
      </c>
    </row>
    <row r="8" spans="1:13">
      <c r="A8" s="29" t="s">
        <v>324</v>
      </c>
      <c r="B8" s="33">
        <f t="shared" ref="B8:B19" si="0">SUM(C8:F8)</f>
        <v>12</v>
      </c>
      <c r="C8" s="34">
        <v>3</v>
      </c>
      <c r="D8" s="34">
        <v>3</v>
      </c>
      <c r="E8" s="34">
        <v>3</v>
      </c>
      <c r="F8" s="33">
        <v>3</v>
      </c>
      <c r="G8" s="48">
        <v>8</v>
      </c>
      <c r="H8" s="48">
        <v>5</v>
      </c>
      <c r="I8" s="48"/>
      <c r="J8" s="48">
        <v>4</v>
      </c>
      <c r="K8" s="48">
        <f t="shared" ref="K8:K19" si="1">SUM(G8:J8)</f>
        <v>17</v>
      </c>
      <c r="L8" s="48">
        <f>+((C8+D8+E8)-(G8+H8+I8))*-1</f>
        <v>4</v>
      </c>
      <c r="M8" s="78">
        <v>26</v>
      </c>
    </row>
    <row r="9" spans="1:13">
      <c r="A9" s="29" t="s">
        <v>325</v>
      </c>
      <c r="B9" s="33">
        <f>SUM(C9:F9)</f>
        <v>12</v>
      </c>
      <c r="C9" s="34">
        <v>3</v>
      </c>
      <c r="D9" s="34">
        <v>3</v>
      </c>
      <c r="E9" s="34">
        <v>3</v>
      </c>
      <c r="F9" s="33">
        <v>3</v>
      </c>
      <c r="G9" s="48">
        <v>1</v>
      </c>
      <c r="H9" s="48"/>
      <c r="I9" s="48">
        <v>1</v>
      </c>
      <c r="J9" s="48">
        <v>3</v>
      </c>
      <c r="K9" s="48">
        <f>SUM(G9:J9)</f>
        <v>5</v>
      </c>
      <c r="L9" s="48">
        <f t="shared" ref="L9:L19" si="2">+((C9+D9+E9)-(G9+H9+I9))*-1</f>
        <v>-7</v>
      </c>
      <c r="M9" s="78">
        <v>36</v>
      </c>
    </row>
    <row r="10" spans="1:13">
      <c r="A10" s="29" t="s">
        <v>358</v>
      </c>
      <c r="B10" s="33">
        <f>SUM(C10:F10)</f>
        <v>20</v>
      </c>
      <c r="C10" s="34">
        <v>5</v>
      </c>
      <c r="D10" s="34">
        <v>5</v>
      </c>
      <c r="E10" s="34">
        <v>5</v>
      </c>
      <c r="F10" s="33">
        <v>5</v>
      </c>
      <c r="G10" s="48">
        <v>2</v>
      </c>
      <c r="H10" s="48"/>
      <c r="I10" s="48"/>
      <c r="J10" s="48">
        <v>3</v>
      </c>
      <c r="K10" s="48">
        <f>SUM(G10:J10)</f>
        <v>5</v>
      </c>
      <c r="L10" s="48">
        <f>+((C10+D10+E10)-(G10+H10+I10))*-1</f>
        <v>-13</v>
      </c>
      <c r="M10" s="78">
        <v>30</v>
      </c>
    </row>
    <row r="11" spans="1:13">
      <c r="A11" s="29" t="s">
        <v>359</v>
      </c>
      <c r="B11" s="33">
        <f>SUM(C11:F11)</f>
        <v>6</v>
      </c>
      <c r="C11" s="34">
        <v>1</v>
      </c>
      <c r="D11" s="34">
        <v>2</v>
      </c>
      <c r="E11" s="34">
        <v>2</v>
      </c>
      <c r="F11" s="33">
        <v>1</v>
      </c>
      <c r="G11" s="48"/>
      <c r="H11" s="48"/>
      <c r="I11" s="48"/>
      <c r="J11" s="48">
        <v>0</v>
      </c>
      <c r="K11" s="48">
        <f>SUM(G11:J11)</f>
        <v>0</v>
      </c>
      <c r="L11" s="48">
        <f>+((C11+D11+E11)-(G11+H11+I11))*-1</f>
        <v>-5</v>
      </c>
      <c r="M11" s="48">
        <v>0</v>
      </c>
    </row>
    <row r="12" spans="1:13">
      <c r="A12" s="29" t="s">
        <v>328</v>
      </c>
      <c r="B12" s="33">
        <f>SUM(C12:F12)</f>
        <v>6</v>
      </c>
      <c r="C12" s="34">
        <v>1</v>
      </c>
      <c r="D12" s="34">
        <v>2</v>
      </c>
      <c r="E12" s="34">
        <v>2</v>
      </c>
      <c r="F12" s="33">
        <v>1</v>
      </c>
      <c r="G12" s="48"/>
      <c r="H12" s="48"/>
      <c r="I12" s="48"/>
      <c r="J12" s="48">
        <v>2</v>
      </c>
      <c r="K12" s="48">
        <f>SUM(G12:J12)</f>
        <v>2</v>
      </c>
      <c r="L12" s="48">
        <f>+((C12+D12+E12)-(G12+H12+I12))*-1</f>
        <v>-5</v>
      </c>
      <c r="M12" s="48">
        <v>2.5</v>
      </c>
    </row>
    <row r="13" spans="1:13">
      <c r="A13" s="29" t="s">
        <v>350</v>
      </c>
      <c r="B13" s="33">
        <f>SUM(C13:F13)</f>
        <v>6</v>
      </c>
      <c r="C13" s="34">
        <v>2</v>
      </c>
      <c r="D13" s="34">
        <v>2</v>
      </c>
      <c r="E13" s="34">
        <v>1</v>
      </c>
      <c r="F13" s="34">
        <v>1</v>
      </c>
      <c r="G13" s="48"/>
      <c r="H13" s="48"/>
      <c r="I13" s="48">
        <v>1</v>
      </c>
      <c r="J13" s="48">
        <v>3</v>
      </c>
      <c r="K13" s="48">
        <f>SUM(G13:J13)</f>
        <v>4</v>
      </c>
      <c r="L13" s="48">
        <f>+((C13+D13+E13)-(G13+H13+I13))*-1</f>
        <v>-4</v>
      </c>
      <c r="M13" s="48">
        <v>3</v>
      </c>
    </row>
    <row r="14" spans="1:13">
      <c r="A14" s="29" t="s">
        <v>304</v>
      </c>
      <c r="B14" s="33">
        <f>SUM(C14:F14)</f>
        <v>6</v>
      </c>
      <c r="C14" s="34">
        <v>1</v>
      </c>
      <c r="D14" s="34">
        <v>2</v>
      </c>
      <c r="E14" s="34">
        <v>2</v>
      </c>
      <c r="F14" s="34">
        <v>1</v>
      </c>
      <c r="G14" s="48">
        <v>1</v>
      </c>
      <c r="H14" s="48"/>
      <c r="I14" s="48">
        <v>2</v>
      </c>
      <c r="J14" s="48"/>
      <c r="K14" s="48">
        <f>SUM(G14:J14)</f>
        <v>3</v>
      </c>
      <c r="L14" s="48">
        <f>+((C14+D14+E14)-(G14+H14+I14))*-1</f>
        <v>-2</v>
      </c>
      <c r="M14" s="48">
        <v>3</v>
      </c>
    </row>
    <row r="15" spans="1:13">
      <c r="A15" s="29" t="s">
        <v>360</v>
      </c>
      <c r="B15" s="33">
        <f>SUM(C15:F15)</f>
        <v>6</v>
      </c>
      <c r="C15" s="34"/>
      <c r="D15" s="34">
        <v>2</v>
      </c>
      <c r="E15" s="34">
        <v>2</v>
      </c>
      <c r="F15" s="34">
        <v>2</v>
      </c>
      <c r="G15" s="48"/>
      <c r="H15" s="48"/>
      <c r="I15" s="48"/>
      <c r="J15" s="48"/>
      <c r="K15" s="48">
        <f>SUM(G15:J15)</f>
        <v>0</v>
      </c>
      <c r="L15" s="48">
        <f>+((C15+D15+E15)-(G15+H15+I15))*-1</f>
        <v>-4</v>
      </c>
      <c r="M15" s="48"/>
    </row>
    <row r="16" spans="1:13">
      <c r="A16" s="29" t="s">
        <v>361</v>
      </c>
      <c r="B16" s="33">
        <f t="shared" ref="B16" si="3">SUM(C16:F16)</f>
        <v>6</v>
      </c>
      <c r="C16" s="34">
        <v>2</v>
      </c>
      <c r="D16" s="34">
        <v>2</v>
      </c>
      <c r="E16" s="34">
        <v>1</v>
      </c>
      <c r="F16" s="34">
        <v>1</v>
      </c>
      <c r="G16" s="48"/>
      <c r="H16" s="48"/>
      <c r="I16" s="48">
        <v>1</v>
      </c>
      <c r="J16" s="48">
        <v>1</v>
      </c>
      <c r="K16" s="48">
        <f>SUM(G16:J16)</f>
        <v>2</v>
      </c>
      <c r="L16" s="48">
        <f>+((C16+D16+E16)-(G16+H16+I16))*-1</f>
        <v>-4</v>
      </c>
      <c r="M16" s="48">
        <v>1.5</v>
      </c>
    </row>
    <row r="17" spans="1:13">
      <c r="A17" s="32" t="s">
        <v>268</v>
      </c>
      <c r="B17" s="33">
        <f>SUM(C17:F17)</f>
        <v>15</v>
      </c>
      <c r="C17" s="34">
        <v>4</v>
      </c>
      <c r="D17" s="34">
        <v>5</v>
      </c>
      <c r="E17" s="34">
        <v>3</v>
      </c>
      <c r="F17" s="34">
        <v>3</v>
      </c>
      <c r="G17" s="34">
        <v>1</v>
      </c>
      <c r="H17" s="35"/>
      <c r="I17" s="35">
        <v>1</v>
      </c>
      <c r="J17" s="35">
        <v>6</v>
      </c>
      <c r="K17" s="48">
        <f>SUM(G17:J17)</f>
        <v>8</v>
      </c>
      <c r="L17" s="48">
        <f>+((C17+D17+E17)-(G17+H17+I17))*-1</f>
        <v>-10</v>
      </c>
      <c r="M17" s="108">
        <v>20</v>
      </c>
    </row>
    <row r="18" spans="1:13">
      <c r="A18" s="36" t="s">
        <v>269</v>
      </c>
      <c r="B18" s="33">
        <f>SUM(C18:F18)</f>
        <v>5</v>
      </c>
      <c r="C18" s="37">
        <v>1</v>
      </c>
      <c r="D18" s="37">
        <v>1</v>
      </c>
      <c r="E18" s="37">
        <v>1</v>
      </c>
      <c r="F18" s="37">
        <v>2</v>
      </c>
      <c r="G18" s="38">
        <v>4</v>
      </c>
      <c r="H18" s="39"/>
      <c r="I18" s="39">
        <v>1</v>
      </c>
      <c r="J18" s="39">
        <v>10</v>
      </c>
      <c r="K18" s="48">
        <f>SUM(G18:J18)</f>
        <v>15</v>
      </c>
      <c r="L18" s="48">
        <f>+((C18+D18+E18)-(G18+H18+I18))*-1</f>
        <v>2</v>
      </c>
      <c r="M18" s="109">
        <v>110.5</v>
      </c>
    </row>
    <row r="19" spans="1:13">
      <c r="A19" s="40" t="s">
        <v>161</v>
      </c>
      <c r="B19" s="33">
        <f>SUM(C19:F19)</f>
        <v>100</v>
      </c>
      <c r="C19" s="41">
        <f t="shared" ref="C19:J19" si="4">SUM(C8:C18)</f>
        <v>23</v>
      </c>
      <c r="D19" s="41">
        <f>SUM(D8:D18)</f>
        <v>29</v>
      </c>
      <c r="E19" s="41">
        <f>SUM(E8:E18)</f>
        <v>25</v>
      </c>
      <c r="F19" s="41">
        <f>SUM(F8:F18)</f>
        <v>23</v>
      </c>
      <c r="G19" s="41">
        <f>SUM(G8:G18)</f>
        <v>17</v>
      </c>
      <c r="H19" s="41">
        <f>SUM(H8:H18)</f>
        <v>5</v>
      </c>
      <c r="I19" s="41">
        <f>SUM(I8:I18)</f>
        <v>7</v>
      </c>
      <c r="J19" s="41">
        <f>SUM(J8:J18)</f>
        <v>32</v>
      </c>
      <c r="K19" s="48">
        <f>SUM(G19:J19)</f>
        <v>61</v>
      </c>
      <c r="L19" s="48">
        <f>+((C19+D19+E19)-(G19+H19+I19))*-1</f>
        <v>-48</v>
      </c>
      <c r="M19" s="110">
        <f>SUM(M8:M18)</f>
        <v>232.5</v>
      </c>
    </row>
    <row r="20" spans="1:15">
      <c r="A20" s="42" t="s">
        <v>40</v>
      </c>
      <c r="B20" s="43"/>
      <c r="C20" s="44" t="s">
        <v>14</v>
      </c>
      <c r="D20" s="45"/>
      <c r="E20" s="45"/>
      <c r="F20" s="46"/>
      <c r="G20" s="44"/>
      <c r="H20" s="45"/>
      <c r="I20" s="45"/>
      <c r="J20" s="46"/>
      <c r="K20" s="83"/>
      <c r="L20" s="84"/>
      <c r="M20" s="84"/>
      <c r="N20" s="111"/>
      <c r="O20" s="90"/>
    </row>
    <row r="21" ht="25.5" spans="1:15">
      <c r="A21" s="47" t="s">
        <v>16</v>
      </c>
      <c r="B21" s="47" t="s">
        <v>17</v>
      </c>
      <c r="C21" s="47" t="s">
        <v>152</v>
      </c>
      <c r="D21" s="47" t="s">
        <v>154</v>
      </c>
      <c r="E21" s="47" t="s">
        <v>123</v>
      </c>
      <c r="F21" s="47" t="s">
        <v>107</v>
      </c>
      <c r="G21" s="47" t="s">
        <v>152</v>
      </c>
      <c r="H21" s="47" t="s">
        <v>278</v>
      </c>
      <c r="I21" s="47" t="s">
        <v>123</v>
      </c>
      <c r="J21" s="47" t="s">
        <v>107</v>
      </c>
      <c r="K21" s="47" t="s">
        <v>22</v>
      </c>
      <c r="L21" s="47" t="s">
        <v>41</v>
      </c>
      <c r="M21" s="47" t="s">
        <v>42</v>
      </c>
      <c r="N21" s="89"/>
      <c r="O21" s="90"/>
    </row>
    <row r="22" spans="1:15">
      <c r="A22" s="29" t="s">
        <v>265</v>
      </c>
      <c r="B22" s="48">
        <f>SUM(C22:F22)</f>
        <v>11.5</v>
      </c>
      <c r="C22" s="35">
        <v>2.5</v>
      </c>
      <c r="D22" s="34">
        <v>3</v>
      </c>
      <c r="E22" s="34">
        <v>3</v>
      </c>
      <c r="F22" s="34">
        <v>3</v>
      </c>
      <c r="G22" s="49">
        <f>+(17860+13080+40300+102620+16100+21860)/100000</f>
        <v>2.1182</v>
      </c>
      <c r="H22" s="50">
        <f>+(51300+70730+44070+23400+28900+56260+87930)/100000</f>
        <v>3.6259</v>
      </c>
      <c r="I22" s="50">
        <f>+(59950+24750+16100+64790+47290+39710)/100000</f>
        <v>2.5259</v>
      </c>
      <c r="J22" s="76">
        <f>+(97450+39700+107536+13023+421)/100000</f>
        <v>2.5813</v>
      </c>
      <c r="K22" s="76">
        <f>SUM(G22:J22)</f>
        <v>10.8513</v>
      </c>
      <c r="L22" s="50">
        <f>+((C22+D22+E22+F22)-(G22+H22+I22+J22))*-1</f>
        <v>-0.6487</v>
      </c>
      <c r="M22" s="91">
        <f>+K22/B22</f>
        <v>0.943591304347826</v>
      </c>
      <c r="N22" s="89"/>
      <c r="O22" s="90"/>
    </row>
    <row r="23" spans="1:15">
      <c r="A23" s="29" t="s">
        <v>222</v>
      </c>
      <c r="B23" s="48">
        <f t="shared" ref="B23:B30" si="5">SUM(C23:F23)</f>
        <v>10.5</v>
      </c>
      <c r="C23" s="35">
        <v>2.5</v>
      </c>
      <c r="D23" s="34">
        <v>2.5</v>
      </c>
      <c r="E23" s="34">
        <v>2.5</v>
      </c>
      <c r="F23" s="34">
        <v>3</v>
      </c>
      <c r="G23" s="49">
        <f>+(12800+2200+26200+18400+20500+19000)/100000</f>
        <v>0.991</v>
      </c>
      <c r="H23" s="50">
        <f>+(19000+96322+18400+14700+30100+15100+13860+30000)/100000</f>
        <v>2.37482</v>
      </c>
      <c r="I23" s="50">
        <f>+(272580+25980+45300+25600+14900+24800)/100000</f>
        <v>4.0916</v>
      </c>
      <c r="J23" s="50">
        <f>+(60900+230500+77000+86000+100000+10080)/100000</f>
        <v>5.6448</v>
      </c>
      <c r="K23" s="76">
        <f t="shared" ref="K23:K40" si="6">SUM(G23:J23)</f>
        <v>13.10222</v>
      </c>
      <c r="L23" s="50">
        <f t="shared" ref="L23:L40" si="7">+((C23+D23+E23+F23)-(G23+H23+I23+J23))*-1</f>
        <v>2.60222</v>
      </c>
      <c r="M23" s="91">
        <f t="shared" ref="M23:M40" si="8">+K23/B23</f>
        <v>1.24783047619048</v>
      </c>
      <c r="N23" s="89"/>
      <c r="O23" s="90"/>
    </row>
    <row r="24" spans="1:15">
      <c r="A24" s="29" t="s">
        <v>266</v>
      </c>
      <c r="B24" s="48">
        <f>SUM(C24:F24)</f>
        <v>10.5</v>
      </c>
      <c r="C24" s="35">
        <v>3.5</v>
      </c>
      <c r="D24" s="34">
        <v>2</v>
      </c>
      <c r="E24" s="34">
        <v>2.5</v>
      </c>
      <c r="F24" s="34">
        <v>2.5</v>
      </c>
      <c r="G24" s="49">
        <f>+(15600+57600+13000+14400+8800+35400)/100000</f>
        <v>1.448</v>
      </c>
      <c r="H24" s="50">
        <f>+(11600+239040+12300+21500+11400+16500+15800)/100000</f>
        <v>3.2814</v>
      </c>
      <c r="I24" s="50">
        <f>+(20100+25200+13900+13350+24100+32915)/100000</f>
        <v>1.29565</v>
      </c>
      <c r="J24" s="50">
        <f>+(33300+13600+55000+16000)/100000</f>
        <v>1.179</v>
      </c>
      <c r="K24" s="76">
        <f>SUM(G24:J24)</f>
        <v>7.20405</v>
      </c>
      <c r="L24" s="50">
        <f>+((C24+D24+E24+F24)-(G24+H24+I24+J24))*-1</f>
        <v>-3.29595</v>
      </c>
      <c r="M24" s="91">
        <f>+K24/B24</f>
        <v>0.6861</v>
      </c>
      <c r="N24" s="92"/>
      <c r="O24" s="93"/>
    </row>
    <row r="25" spans="1:15">
      <c r="A25" s="29" t="s">
        <v>209</v>
      </c>
      <c r="B25" s="48">
        <f>SUM(C25:F25)</f>
        <v>13.5</v>
      </c>
      <c r="C25" s="34">
        <v>3</v>
      </c>
      <c r="D25" s="34">
        <v>3.5</v>
      </c>
      <c r="E25" s="34">
        <v>3</v>
      </c>
      <c r="F25" s="34">
        <v>4</v>
      </c>
      <c r="G25" s="49">
        <f>+(11800+29700+94200+26100+21900+28300)/100000</f>
        <v>2.12</v>
      </c>
      <c r="H25" s="50">
        <f>+(48500+95600+23300+27900+21000+27000+30400+12500)/100000</f>
        <v>2.862</v>
      </c>
      <c r="I25" s="50">
        <f>+(21100+40200+31300+81200+53500+22500)/100000</f>
        <v>2.498</v>
      </c>
      <c r="J25" s="50">
        <f>+(182600+66200+45000+76000+3000+53000)/100000</f>
        <v>4.258</v>
      </c>
      <c r="K25" s="76">
        <f>SUM(G25:J25)</f>
        <v>11.738</v>
      </c>
      <c r="L25" s="50">
        <f>+((C25+D25+E25+F25)-(G25+H25+I25+J25))*-1</f>
        <v>-1.762</v>
      </c>
      <c r="M25" s="91">
        <f>+K25/B25</f>
        <v>0.869481481481481</v>
      </c>
      <c r="N25" s="92"/>
      <c r="O25" s="93"/>
    </row>
    <row r="26" spans="1:15">
      <c r="A26" s="29" t="s">
        <v>338</v>
      </c>
      <c r="B26" s="48">
        <f>SUM(C26:F26)</f>
        <v>6</v>
      </c>
      <c r="C26" s="34">
        <v>1.5</v>
      </c>
      <c r="D26" s="34">
        <v>1.5</v>
      </c>
      <c r="E26" s="34">
        <v>1</v>
      </c>
      <c r="F26" s="34">
        <v>2</v>
      </c>
      <c r="G26" s="49">
        <f>+(4400+25000)/100000</f>
        <v>0.294</v>
      </c>
      <c r="H26" s="50">
        <f>+(30500+13000)/100000</f>
        <v>0.435</v>
      </c>
      <c r="I26" s="50"/>
      <c r="J26" s="50"/>
      <c r="K26" s="76">
        <f>SUM(G26:J26)</f>
        <v>0.729</v>
      </c>
      <c r="L26" s="50">
        <f>+((C26+D26+E26+F26)-(G26+H26+I26+J26))*-1</f>
        <v>-5.271</v>
      </c>
      <c r="M26" s="91">
        <f>+K26/B26</f>
        <v>0.1215</v>
      </c>
      <c r="N26" s="92"/>
      <c r="O26" s="93"/>
    </row>
    <row r="27" spans="1:15">
      <c r="A27" s="51" t="s">
        <v>293</v>
      </c>
      <c r="B27" s="48">
        <f t="shared" ref="B27:B28" si="9">SUM(C27:F27)</f>
        <v>16.5</v>
      </c>
      <c r="C27" s="35">
        <v>3.5</v>
      </c>
      <c r="D27" s="34">
        <v>4</v>
      </c>
      <c r="E27" s="34">
        <v>5</v>
      </c>
      <c r="F27" s="34">
        <v>4</v>
      </c>
      <c r="G27" s="49">
        <f>+(47700+40700+67300+30200+22400+35000)/100000</f>
        <v>2.433</v>
      </c>
      <c r="H27" s="50">
        <f>+(48000+80471+33550+61820+47690+43300+56100)/100000</f>
        <v>3.70931</v>
      </c>
      <c r="I27" s="50">
        <f>+(88900+32600+63200+68200+54400+105910)/100000</f>
        <v>4.1321</v>
      </c>
      <c r="J27" s="50">
        <f>+(124050+70800+105000+54000+79000+63000)/100000</f>
        <v>4.9585</v>
      </c>
      <c r="K27" s="76">
        <f t="shared" ref="K27:K28" si="10">SUM(G27:J27)</f>
        <v>15.23291</v>
      </c>
      <c r="L27" s="50">
        <f>+((C27+D27+E27+F27)-(G27+H27+I27+J27))*-1</f>
        <v>-1.26709</v>
      </c>
      <c r="M27" s="91">
        <f>+K27/B27</f>
        <v>0.923206666666667</v>
      </c>
      <c r="N27" s="92"/>
      <c r="O27" s="93"/>
    </row>
    <row r="28" spans="1:15">
      <c r="A28" s="51" t="s">
        <v>261</v>
      </c>
      <c r="B28" s="48">
        <f>SUM(C28:F28)</f>
        <v>7.75</v>
      </c>
      <c r="C28" s="35">
        <v>2</v>
      </c>
      <c r="D28" s="34">
        <v>2</v>
      </c>
      <c r="E28" s="34">
        <v>2</v>
      </c>
      <c r="F28" s="34">
        <v>1.75</v>
      </c>
      <c r="G28" s="49">
        <f>+(23950+31250+76850+39000+27000+46900)/100000</f>
        <v>2.4495</v>
      </c>
      <c r="H28" s="50">
        <f>+(80471+18276+33550+27450+32500+15750)/100000</f>
        <v>2.07997</v>
      </c>
      <c r="I28" s="50">
        <f>+(31250+34250+32450+38130+55250+39450)/100000</f>
        <v>2.3078</v>
      </c>
      <c r="J28" s="50">
        <f>+(200200+75000)/100000</f>
        <v>2.752</v>
      </c>
      <c r="K28" s="76">
        <f>SUM(G28:J28)</f>
        <v>9.58927</v>
      </c>
      <c r="L28" s="50">
        <f>+((C28+D28+E28+F28)-(G28+H28+I28+J28))*-1</f>
        <v>1.83927</v>
      </c>
      <c r="M28" s="91">
        <f>+K28/B28</f>
        <v>1.23732516129032</v>
      </c>
      <c r="N28" s="92"/>
      <c r="O28" s="93"/>
    </row>
    <row r="29" spans="1:15">
      <c r="A29" s="51" t="s">
        <v>263</v>
      </c>
      <c r="B29" s="48">
        <f>SUM(C29:F29)</f>
        <v>6</v>
      </c>
      <c r="C29" s="35">
        <v>1.5</v>
      </c>
      <c r="D29" s="52">
        <v>1.5</v>
      </c>
      <c r="E29" s="52">
        <v>2</v>
      </c>
      <c r="F29" s="52">
        <v>1</v>
      </c>
      <c r="G29" s="49">
        <f>+(15130+21000+22910+17550+16600+21500)/100000</f>
        <v>1.1469</v>
      </c>
      <c r="H29" s="50">
        <f>+(29100+38600+20600+30300+17650+51400+24000)/100000</f>
        <v>2.1165</v>
      </c>
      <c r="I29" s="50">
        <f>+(17000+12100+20750+25000+41150+15860)/100000</f>
        <v>1.3186</v>
      </c>
      <c r="J29" s="50">
        <f>+(12650+209)/100000</f>
        <v>0.12859</v>
      </c>
      <c r="K29" s="76">
        <f>SUM(G29:J29)</f>
        <v>4.71059</v>
      </c>
      <c r="L29" s="50">
        <f>+((C29+D29+E29+F29)-(G29+H29+I29+J29))*-1</f>
        <v>-1.28941</v>
      </c>
      <c r="M29" s="91">
        <f>+K29/B29</f>
        <v>0.785098333333333</v>
      </c>
      <c r="N29" s="94"/>
      <c r="O29" s="95"/>
    </row>
    <row r="30" spans="1:15">
      <c r="A30" s="51" t="s">
        <v>271</v>
      </c>
      <c r="B30" s="48">
        <f>SUM(C30:F30)</f>
        <v>8</v>
      </c>
      <c r="C30" s="35">
        <v>2</v>
      </c>
      <c r="D30" s="52">
        <v>1.5</v>
      </c>
      <c r="E30" s="52">
        <v>2</v>
      </c>
      <c r="F30" s="52">
        <v>2.5</v>
      </c>
      <c r="G30" s="49">
        <f>+(8100+15700+67300+17500+18200+9900)/100000</f>
        <v>1.367</v>
      </c>
      <c r="H30" s="50">
        <f>+(27100+34400+19000+9900+7900+10300+15920)/100000</f>
        <v>1.2452</v>
      </c>
      <c r="I30" s="50">
        <f>+(9060+5800+11720+68260+59460+11200)/100000</f>
        <v>1.655</v>
      </c>
      <c r="J30" s="50">
        <f>+(36100+84100+46355)/100000</f>
        <v>1.66555</v>
      </c>
      <c r="K30" s="76">
        <f>SUM(G30:J30)</f>
        <v>5.93275</v>
      </c>
      <c r="L30" s="50">
        <f>+((C30+D30+E30+F30)-(G30+H30+I30+J30))*-1</f>
        <v>-2.06725</v>
      </c>
      <c r="M30" s="91">
        <f>+K30/B30</f>
        <v>0.74159375</v>
      </c>
      <c r="N30" s="92"/>
      <c r="O30" s="93"/>
    </row>
    <row r="31" spans="1:15">
      <c r="A31" s="51" t="s">
        <v>262</v>
      </c>
      <c r="B31" s="48">
        <f t="shared" ref="B31:B40" si="11">SUM(C31:F31)</f>
        <v>14.5</v>
      </c>
      <c r="C31" s="35">
        <v>3</v>
      </c>
      <c r="D31" s="52">
        <v>4</v>
      </c>
      <c r="E31" s="52">
        <v>3.5</v>
      </c>
      <c r="F31" s="52">
        <v>4</v>
      </c>
      <c r="G31" s="49">
        <f>+(16300+17100+87530+26600+27800+25900)/100000</f>
        <v>2.0123</v>
      </c>
      <c r="H31" s="50">
        <f>+(67300+71000+63000+20500+24620+28000+44400)/100000</f>
        <v>3.1882</v>
      </c>
      <c r="I31" s="50">
        <f>+(19800+15600+13900+18300+15400+66600)/100000</f>
        <v>1.496</v>
      </c>
      <c r="J31" s="50">
        <f>+(91000+80400+180000+15000)/100000</f>
        <v>3.664</v>
      </c>
      <c r="K31" s="76">
        <f>SUM(G31:J31)</f>
        <v>10.3605</v>
      </c>
      <c r="L31" s="50">
        <f>+((C31+D31+E31+F31)-(G31+H31+I31+J31))*-1</f>
        <v>-4.1395</v>
      </c>
      <c r="M31" s="91">
        <f>+K31/B31</f>
        <v>0.71451724137931</v>
      </c>
      <c r="N31" s="92"/>
      <c r="O31" s="93"/>
    </row>
    <row r="32" spans="1:15">
      <c r="A32" s="51" t="s">
        <v>172</v>
      </c>
      <c r="B32" s="48">
        <f>SUM(C32:F32)</f>
        <v>12.5</v>
      </c>
      <c r="C32" s="35">
        <v>3</v>
      </c>
      <c r="D32" s="52">
        <v>2.5</v>
      </c>
      <c r="E32" s="52">
        <v>3</v>
      </c>
      <c r="F32" s="52">
        <v>4</v>
      </c>
      <c r="G32" s="49">
        <f>+(19000+31400+43900+77500+20800+18200)/100000</f>
        <v>2.108</v>
      </c>
      <c r="H32" s="50">
        <f>+(48800+35900+13000+32500+52800+21100)/100000</f>
        <v>2.041</v>
      </c>
      <c r="I32" s="50">
        <f>+(44300+21700+21450+30000+86700+35800)/100000</f>
        <v>2.3995</v>
      </c>
      <c r="J32" s="50">
        <f>+(75200+42200+67000+36000)/100000</f>
        <v>2.204</v>
      </c>
      <c r="K32" s="76">
        <f>SUM(G32:J32)</f>
        <v>8.7525</v>
      </c>
      <c r="L32" s="50">
        <f>+((C32+D32+E32+F32)-(G32+H32+I32+J32))*-1</f>
        <v>-3.7475</v>
      </c>
      <c r="M32" s="91">
        <f>+K32/B32</f>
        <v>0.7002</v>
      </c>
      <c r="N32" s="92"/>
      <c r="O32" s="93"/>
    </row>
    <row r="33" spans="1:15">
      <c r="A33" s="51" t="s">
        <v>328</v>
      </c>
      <c r="B33" s="48">
        <f>SUM(C33:F33)</f>
        <v>2</v>
      </c>
      <c r="C33" s="35">
        <v>0.5</v>
      </c>
      <c r="D33" s="52">
        <v>0.25</v>
      </c>
      <c r="E33" s="52">
        <v>0.25</v>
      </c>
      <c r="F33" s="52">
        <v>1</v>
      </c>
      <c r="G33" s="49">
        <f>+(4050+1600+1700+21800+7800+1400)/100000</f>
        <v>0.3835</v>
      </c>
      <c r="H33" s="50">
        <f>+(4150+10900+19400+13310+2900+6700+200)/100000</f>
        <v>0.5756</v>
      </c>
      <c r="I33" s="50">
        <f>+(8900+5000+10200+42200+2800+3600)/100000</f>
        <v>0.727</v>
      </c>
      <c r="J33" s="50">
        <f>+(11200+2300+35000)/100000</f>
        <v>0.485</v>
      </c>
      <c r="K33" s="76">
        <f>SUM(G33:J33)</f>
        <v>2.1711</v>
      </c>
      <c r="L33" s="50">
        <f>+((C33+D33+E33+F33)-(G33+H33+I33+J33))*-1</f>
        <v>0.1711</v>
      </c>
      <c r="M33" s="91">
        <f>+K33/B33</f>
        <v>1.08555</v>
      </c>
      <c r="N33" s="92"/>
      <c r="O33" s="93"/>
    </row>
    <row r="34" spans="1:15">
      <c r="A34" s="51" t="s">
        <v>362</v>
      </c>
      <c r="B34" s="48">
        <f>SUM(C34:F34)</f>
        <v>2.5</v>
      </c>
      <c r="C34" s="35">
        <v>1</v>
      </c>
      <c r="D34" s="52">
        <v>0.5</v>
      </c>
      <c r="E34" s="52">
        <v>0.5</v>
      </c>
      <c r="F34" s="52">
        <v>0.5</v>
      </c>
      <c r="G34" s="49">
        <f>+(6900+112400+10300)/100000</f>
        <v>1.296</v>
      </c>
      <c r="H34" s="50">
        <f>+(4800+550)/100000</f>
        <v>0.0535</v>
      </c>
      <c r="I34" s="50">
        <f>+(36400)/100000</f>
        <v>0.364</v>
      </c>
      <c r="J34" s="50">
        <f>+(21400+138500+11000+40000+2000)/100000</f>
        <v>2.129</v>
      </c>
      <c r="K34" s="76">
        <f>SUM(G34:J34)</f>
        <v>3.8425</v>
      </c>
      <c r="L34" s="50">
        <f>+((C34+D34+E34+F34)-(G34+H34+I34+J34))*-1</f>
        <v>1.3425</v>
      </c>
      <c r="M34" s="91">
        <f>+K34/B34</f>
        <v>1.537</v>
      </c>
      <c r="N34" s="92"/>
      <c r="O34" s="93"/>
    </row>
    <row r="35" spans="1:15">
      <c r="A35" s="51" t="s">
        <v>363</v>
      </c>
      <c r="B35" s="48">
        <f>SUM(C35:F35)</f>
        <v>1</v>
      </c>
      <c r="C35" s="35">
        <v>0.2</v>
      </c>
      <c r="D35" s="52">
        <v>0.2</v>
      </c>
      <c r="E35" s="52">
        <v>0.2</v>
      </c>
      <c r="F35" s="52">
        <v>0.4</v>
      </c>
      <c r="G35" s="49">
        <f>+(5400+8000+4000+2900)/100000</f>
        <v>0.203</v>
      </c>
      <c r="H35" s="50">
        <f>+(2050+1000+900+550+900+1000+1600)/100000</f>
        <v>0.08</v>
      </c>
      <c r="I35" s="50">
        <f>+(1000+400+1200+900+1000)/100000</f>
        <v>0.045</v>
      </c>
      <c r="J35" s="50">
        <f>+(1000+400+1200)/100000</f>
        <v>0.026</v>
      </c>
      <c r="K35" s="76">
        <f>SUM(G35:J35)</f>
        <v>0.354</v>
      </c>
      <c r="L35" s="50">
        <f>+((C35+D35+E35+F35)-(G35+H35+I35+J35))*-1</f>
        <v>-0.646</v>
      </c>
      <c r="M35" s="91">
        <f>+K35/B35</f>
        <v>0.354</v>
      </c>
      <c r="N35" s="92"/>
      <c r="O35" s="93"/>
    </row>
    <row r="36" spans="1:15">
      <c r="A36" s="51" t="s">
        <v>267</v>
      </c>
      <c r="B36" s="48">
        <f>SUM(C36:F36)</f>
        <v>11.5</v>
      </c>
      <c r="C36" s="35">
        <v>2.5</v>
      </c>
      <c r="D36" s="52">
        <v>3.5</v>
      </c>
      <c r="E36" s="52">
        <v>2.5</v>
      </c>
      <c r="F36" s="52">
        <v>3</v>
      </c>
      <c r="G36" s="49">
        <f>+(35600+30800+3050+30150+45400+15100)/100000</f>
        <v>1.601</v>
      </c>
      <c r="H36" s="50">
        <f>+(33600+172200+53600+22300+35100+22350+51600)/100000</f>
        <v>3.9075</v>
      </c>
      <c r="I36" s="50">
        <f>+(46100+72900+36060+39600+15400+36600)/100000</f>
        <v>2.4666</v>
      </c>
      <c r="J36" s="50">
        <f>+(41900+28300+45000+67000+36000)/100000</f>
        <v>2.182</v>
      </c>
      <c r="K36" s="76">
        <f>SUM(G36:J36)</f>
        <v>10.1571</v>
      </c>
      <c r="L36" s="50">
        <f>+((C36+D36+E36+F36)-(G36+H36+I36+J36))*-1</f>
        <v>-1.3429</v>
      </c>
      <c r="M36" s="91">
        <f>+K36/B36</f>
        <v>0.883226086956522</v>
      </c>
      <c r="N36" s="92"/>
      <c r="O36" s="93"/>
    </row>
    <row r="37" spans="1:15">
      <c r="A37" s="53" t="s">
        <v>351</v>
      </c>
      <c r="B37" s="48">
        <f>SUM(C37:F37)</f>
        <v>8</v>
      </c>
      <c r="C37" s="35">
        <v>1.5</v>
      </c>
      <c r="D37" s="52">
        <v>2</v>
      </c>
      <c r="E37" s="52">
        <v>2</v>
      </c>
      <c r="F37" s="52">
        <v>2.5</v>
      </c>
      <c r="G37" s="49">
        <f>+(5900+6300+3900+5500+14500)/100000</f>
        <v>0.361</v>
      </c>
      <c r="H37" s="50">
        <f>+(26500+20300+3000+7800+14500)/100000</f>
        <v>0.721</v>
      </c>
      <c r="I37" s="50">
        <f>+(1300+8000+1600+230700+35100+22500)/100000</f>
        <v>2.992</v>
      </c>
      <c r="J37" s="50">
        <f>+(46600+9500+220000+11000+36000)/100000</f>
        <v>3.231</v>
      </c>
      <c r="K37" s="76">
        <f>SUM(G37:J37)</f>
        <v>7.305</v>
      </c>
      <c r="L37" s="50">
        <f>+((C37+D37+E37+F37)-(G37+H37+I37+J37))*-1</f>
        <v>-0.695</v>
      </c>
      <c r="M37" s="91">
        <f>+K37/B37</f>
        <v>0.913125</v>
      </c>
      <c r="N37" s="92"/>
      <c r="O37" s="93"/>
    </row>
    <row r="38" spans="1:15">
      <c r="A38" s="53" t="s">
        <v>35</v>
      </c>
      <c r="B38" s="48">
        <f>SUM(C38:F38)</f>
        <v>0.75</v>
      </c>
      <c r="C38" s="35">
        <v>0</v>
      </c>
      <c r="D38" s="52">
        <v>0.5</v>
      </c>
      <c r="E38" s="52">
        <v>0</v>
      </c>
      <c r="F38" s="52">
        <v>0.25</v>
      </c>
      <c r="G38" s="49"/>
      <c r="H38" s="50"/>
      <c r="I38" s="50"/>
      <c r="J38" s="50">
        <f>+(26400)/100000</f>
        <v>0.264</v>
      </c>
      <c r="K38" s="76">
        <f>SUM(G38:J38)</f>
        <v>0.264</v>
      </c>
      <c r="L38" s="50">
        <f>+((C38+D38+E38+F38)-(G38+H38+I38+J38))*-1</f>
        <v>-0.486</v>
      </c>
      <c r="M38" s="91">
        <f>+K38/B38</f>
        <v>0.352</v>
      </c>
      <c r="N38" s="92"/>
      <c r="O38" s="93"/>
    </row>
    <row r="39" spans="1:15">
      <c r="A39" s="53" t="s">
        <v>38</v>
      </c>
      <c r="B39" s="48">
        <f>SUM(C39:F39)</f>
        <v>21.5</v>
      </c>
      <c r="C39" s="35">
        <v>5</v>
      </c>
      <c r="D39" s="52">
        <v>5</v>
      </c>
      <c r="E39" s="52">
        <v>4.5</v>
      </c>
      <c r="F39" s="52">
        <v>7</v>
      </c>
      <c r="G39" s="49">
        <f>+(10000+52300+55400+52200+12000+14200+63400+22400+28800)/100000</f>
        <v>3.107</v>
      </c>
      <c r="H39" s="50">
        <f>+(1100+85855+48429+2150+14200+350+37230+4400+19700+10000+4000+22600+5000+8800+9750+3600+6250)/100000</f>
        <v>2.83414</v>
      </c>
      <c r="I39" s="50">
        <f>+(81400+200+80800+24000+100+22000+8900+64724+32000+300+22940+30550+2800+20000)/100000</f>
        <v>3.90714</v>
      </c>
      <c r="J39" s="50">
        <f>+(36400+40800+10360+15885+24100+22000+26001+515000+215000+10000+3275+564)/100000</f>
        <v>9.19385</v>
      </c>
      <c r="K39" s="76">
        <f>SUM(G39:J39)</f>
        <v>19.04213</v>
      </c>
      <c r="L39" s="50">
        <f>+((C39+D39+E39+F39)-(G39+H39+I39+J39))*-1</f>
        <v>-2.45787</v>
      </c>
      <c r="M39" s="91">
        <f>+K39/B39</f>
        <v>0.885680465116279</v>
      </c>
      <c r="N39" s="92"/>
      <c r="O39" s="93"/>
    </row>
    <row r="40" spans="1:15">
      <c r="A40" s="54" t="s">
        <v>44</v>
      </c>
      <c r="B40" s="48">
        <f>SUM(C40:F40)</f>
        <v>164.5</v>
      </c>
      <c r="C40" s="35">
        <f t="shared" ref="C40:J40" si="12">SUM(C22:C39)</f>
        <v>38.7</v>
      </c>
      <c r="D40" s="48">
        <f>SUM(D22:D39)</f>
        <v>39.95</v>
      </c>
      <c r="E40" s="48">
        <f>SUM(E22:E39)</f>
        <v>39.45</v>
      </c>
      <c r="F40" s="48">
        <f>SUM(F22:F39)</f>
        <v>46.4</v>
      </c>
      <c r="G40" s="49">
        <f>SUM(G22:G39)</f>
        <v>25.4394</v>
      </c>
      <c r="H40" s="50">
        <f>SUM(H22:H39)</f>
        <v>35.13104</v>
      </c>
      <c r="I40" s="50">
        <f>SUM(I22:I39)</f>
        <v>34.22189</v>
      </c>
      <c r="J40" s="50">
        <f>SUM(J22:J39)</f>
        <v>46.54659</v>
      </c>
      <c r="K40" s="76">
        <f>SUM(G40:J40)</f>
        <v>141.33892</v>
      </c>
      <c r="L40" s="50">
        <f>+((C40+D40+E40+F40)-(G40+H40+I40+J40))*-1</f>
        <v>-23.16108</v>
      </c>
      <c r="M40" s="91">
        <f>+K40/B40</f>
        <v>0.859203161094225</v>
      </c>
      <c r="N40" s="92"/>
      <c r="O40" s="93"/>
    </row>
    <row r="41" spans="1:15">
      <c r="A41" s="55"/>
      <c r="B41" s="56"/>
      <c r="C41" s="57"/>
      <c r="N41" s="94"/>
      <c r="O41" s="95"/>
    </row>
    <row r="42" spans="14:15">
      <c r="N42" s="92"/>
      <c r="O42" s="93"/>
    </row>
    <row r="43" spans="14:15">
      <c r="N43" s="92"/>
      <c r="O43" s="93"/>
    </row>
    <row r="44" spans="2:15">
      <c r="B44" s="1"/>
      <c r="N44" s="92"/>
      <c r="O44" s="93"/>
    </row>
    <row r="45" spans="2:15">
      <c r="B45" s="1"/>
      <c r="N45" s="92"/>
      <c r="O45" s="93"/>
    </row>
    <row r="46" spans="2:15">
      <c r="B46" s="1"/>
      <c r="N46" s="92"/>
      <c r="O46" s="93"/>
    </row>
    <row r="47" spans="2:15">
      <c r="B47" s="1"/>
      <c r="N47" s="92"/>
      <c r="O47" s="93"/>
    </row>
    <row r="48" spans="2:15">
      <c r="B48" s="1"/>
      <c r="N48" s="92"/>
      <c r="O48" s="93"/>
    </row>
    <row r="49" spans="2:15">
      <c r="B49" s="1"/>
      <c r="N49" s="92"/>
      <c r="O49" s="93"/>
    </row>
    <row r="50" spans="2:15">
      <c r="B50" s="1"/>
      <c r="N50" s="92"/>
      <c r="O50" s="93"/>
    </row>
    <row r="51" spans="2:15">
      <c r="B51" s="1"/>
      <c r="N51" s="94"/>
      <c r="O51" s="95"/>
    </row>
    <row r="52" spans="2:15">
      <c r="B52" s="1"/>
      <c r="N52" s="92"/>
      <c r="O52" s="93"/>
    </row>
    <row r="53" spans="2:15">
      <c r="B53" s="1"/>
      <c r="N53" s="92"/>
      <c r="O53" s="93"/>
    </row>
    <row r="54" spans="2:15">
      <c r="B54" s="1"/>
      <c r="N54" s="92"/>
      <c r="O54" s="93"/>
    </row>
    <row r="55" spans="2:15">
      <c r="B55" s="1"/>
      <c r="N55" s="92"/>
      <c r="O55" s="93"/>
    </row>
    <row r="56" spans="2:15">
      <c r="B56" s="1"/>
      <c r="N56" s="92"/>
      <c r="O56" s="93"/>
    </row>
    <row r="57" spans="2:15">
      <c r="B57" s="1"/>
      <c r="N57" s="92"/>
      <c r="O57" s="93"/>
    </row>
    <row r="58" spans="2:15">
      <c r="B58" s="1"/>
      <c r="N58" s="92"/>
      <c r="O58" s="93"/>
    </row>
    <row r="59" spans="2:15">
      <c r="B59" s="1"/>
      <c r="N59" s="94"/>
      <c r="O59" s="95"/>
    </row>
    <row r="60" spans="2:15">
      <c r="B60" s="1"/>
      <c r="N60" s="92"/>
      <c r="O60" s="93"/>
    </row>
    <row r="61" spans="2:15">
      <c r="B61" s="1"/>
      <c r="N61" s="92"/>
      <c r="O61" s="93"/>
    </row>
    <row r="62" spans="2:15">
      <c r="B62" s="1"/>
      <c r="N62" s="92"/>
      <c r="O62" s="93"/>
    </row>
    <row r="63" spans="2:15">
      <c r="B63" s="1"/>
      <c r="N63" s="92"/>
      <c r="O63" s="93"/>
    </row>
    <row r="64" spans="2:15">
      <c r="B64" s="1"/>
      <c r="N64" s="92"/>
      <c r="O64" s="93"/>
    </row>
    <row r="65" spans="2:15">
      <c r="B65" s="1"/>
      <c r="N65" s="92"/>
      <c r="O65" s="93"/>
    </row>
    <row r="66" spans="2:15">
      <c r="B66" s="1"/>
      <c r="N66" s="92"/>
      <c r="O66" s="93"/>
    </row>
    <row r="67" spans="2:15">
      <c r="B67" s="1"/>
      <c r="N67" s="92"/>
      <c r="O67" s="96"/>
    </row>
  </sheetData>
  <mergeCells count="5">
    <mergeCell ref="D5:F5"/>
    <mergeCell ref="C6:F6"/>
    <mergeCell ref="G6:J6"/>
    <mergeCell ref="C20:F20"/>
    <mergeCell ref="G20:J20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72"/>
  <sheetViews>
    <sheetView workbookViewId="0">
      <selection activeCell="K23" sqref="K23"/>
    </sheetView>
  </sheetViews>
  <sheetFormatPr defaultColWidth="9" defaultRowHeight="15"/>
  <cols>
    <col min="1" max="1" width="17.4285714285714" style="1" customWidth="1"/>
    <col min="2" max="2" width="9" style="2" customWidth="1"/>
    <col min="3" max="3" width="8.42857142857143" style="1" customWidth="1"/>
    <col min="4" max="4" width="8.57142857142857" style="1" customWidth="1"/>
    <col min="5" max="5" width="8.28571428571429" style="1" customWidth="1"/>
    <col min="6" max="6" width="8.71428571428571" style="1" customWidth="1"/>
    <col min="7" max="7" width="8.28571428571429" style="1" customWidth="1"/>
    <col min="8" max="8" width="8.85714285714286" style="1" customWidth="1"/>
    <col min="9" max="9" width="10.1428571428571" style="1" customWidth="1"/>
    <col min="10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spans="1:13">
      <c r="A1" s="3" t="s">
        <v>364</v>
      </c>
      <c r="B1" s="4" t="s">
        <v>365</v>
      </c>
      <c r="C1" s="5"/>
      <c r="D1" s="5"/>
      <c r="E1" s="5"/>
      <c r="F1" s="5"/>
      <c r="G1" s="5"/>
      <c r="H1" s="5"/>
      <c r="I1" s="5"/>
      <c r="J1" s="5"/>
      <c r="K1" s="5"/>
      <c r="L1" s="5"/>
      <c r="M1" s="58"/>
    </row>
    <row r="2" spans="1:14">
      <c r="A2" s="6" t="s">
        <v>311</v>
      </c>
      <c r="B2" s="7">
        <f>+K27</f>
        <v>111</v>
      </c>
      <c r="C2" s="8"/>
      <c r="D2" s="8"/>
      <c r="E2" s="8"/>
      <c r="F2" s="8"/>
      <c r="G2" s="9"/>
      <c r="H2" s="10"/>
      <c r="I2" s="59"/>
      <c r="J2" s="10"/>
      <c r="K2" s="10"/>
      <c r="L2" s="10"/>
      <c r="M2" s="8"/>
      <c r="N2" s="60"/>
    </row>
    <row r="3" spans="1:14">
      <c r="A3" s="6" t="s">
        <v>366</v>
      </c>
      <c r="B3" s="7">
        <f>+M27</f>
        <v>115.5</v>
      </c>
      <c r="C3" s="8"/>
      <c r="D3" s="8"/>
      <c r="E3" s="8"/>
      <c r="F3" s="8"/>
      <c r="G3" s="9"/>
      <c r="H3" s="10"/>
      <c r="I3" s="10"/>
      <c r="J3" s="10"/>
      <c r="K3" s="10"/>
      <c r="L3" s="61"/>
      <c r="M3" s="62"/>
      <c r="N3" s="60"/>
    </row>
    <row r="4" spans="1:14">
      <c r="A4" s="6" t="s">
        <v>367</v>
      </c>
      <c r="B4" s="11"/>
      <c r="C4" s="12"/>
      <c r="D4" s="13" t="s">
        <v>164</v>
      </c>
      <c r="E4" s="12"/>
      <c r="F4" s="12"/>
      <c r="G4" s="14"/>
      <c r="H4" s="15"/>
      <c r="I4" s="62" t="s">
        <v>7</v>
      </c>
      <c r="J4" s="13">
        <f>+K45</f>
        <v>147.48841</v>
      </c>
      <c r="K4" s="12" t="s">
        <v>8</v>
      </c>
      <c r="L4" s="12" t="s">
        <v>256</v>
      </c>
      <c r="M4" s="12"/>
      <c r="N4" s="60"/>
    </row>
    <row r="5" spans="1:14">
      <c r="A5" s="16" t="s">
        <v>10</v>
      </c>
      <c r="B5" s="17" t="s">
        <v>368</v>
      </c>
      <c r="C5" s="18" t="s">
        <v>55</v>
      </c>
      <c r="D5" s="19">
        <v>126121750</v>
      </c>
      <c r="E5" s="19"/>
      <c r="F5" s="19"/>
      <c r="G5" s="20"/>
      <c r="H5" s="21"/>
      <c r="I5" s="62"/>
      <c r="J5" s="62"/>
      <c r="K5" s="62"/>
      <c r="L5" s="62"/>
      <c r="M5" s="62"/>
      <c r="N5" s="60"/>
    </row>
    <row r="6" spans="1:14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64"/>
      <c r="N6" s="60"/>
    </row>
    <row r="7" ht="25.5" spans="1:14">
      <c r="A7" s="25" t="s">
        <v>16</v>
      </c>
      <c r="B7" s="25" t="s">
        <v>317</v>
      </c>
      <c r="C7" s="25" t="s">
        <v>152</v>
      </c>
      <c r="D7" s="25" t="s">
        <v>153</v>
      </c>
      <c r="E7" s="25" t="s">
        <v>123</v>
      </c>
      <c r="F7" s="25" t="s">
        <v>106</v>
      </c>
      <c r="G7" s="25" t="s">
        <v>152</v>
      </c>
      <c r="H7" s="25" t="s">
        <v>154</v>
      </c>
      <c r="I7" s="25" t="s">
        <v>155</v>
      </c>
      <c r="J7" s="25" t="s">
        <v>107</v>
      </c>
      <c r="K7" s="25" t="s">
        <v>22</v>
      </c>
      <c r="L7" s="25" t="s">
        <v>23</v>
      </c>
      <c r="M7" s="65" t="s">
        <v>369</v>
      </c>
      <c r="N7" s="101" t="s">
        <v>370</v>
      </c>
    </row>
    <row r="8" spans="1:14">
      <c r="A8" s="99" t="s">
        <v>371</v>
      </c>
      <c r="B8" s="33">
        <f t="shared" ref="B8:B27" si="0">SUM(C8:F8)</f>
        <v>1</v>
      </c>
      <c r="C8" s="34">
        <v>0</v>
      </c>
      <c r="D8" s="34">
        <v>1</v>
      </c>
      <c r="E8" s="34">
        <v>0</v>
      </c>
      <c r="F8" s="33">
        <v>0</v>
      </c>
      <c r="G8" s="48"/>
      <c r="H8" s="48"/>
      <c r="I8" s="48"/>
      <c r="J8" s="48"/>
      <c r="K8" s="48">
        <f t="shared" ref="K8:K27" si="1">SUM(G8:J8)</f>
        <v>0</v>
      </c>
      <c r="L8" s="48">
        <f>+((C8+D8+E8+F8)-(G8+H8+I8+J8))*-1</f>
        <v>-1</v>
      </c>
      <c r="M8" s="97"/>
      <c r="N8" s="76"/>
    </row>
    <row r="9" spans="1:14">
      <c r="A9" s="29" t="s">
        <v>325</v>
      </c>
      <c r="B9" s="33">
        <f>SUM(C9:F9)</f>
        <v>12</v>
      </c>
      <c r="C9" s="34">
        <v>3</v>
      </c>
      <c r="D9" s="34">
        <v>3</v>
      </c>
      <c r="E9" s="34">
        <v>3</v>
      </c>
      <c r="F9" s="33">
        <v>3</v>
      </c>
      <c r="G9" s="48"/>
      <c r="H9" s="48"/>
      <c r="I9" s="48">
        <v>3</v>
      </c>
      <c r="J9" s="48">
        <v>9</v>
      </c>
      <c r="K9" s="48">
        <f>SUM(G9:J9)</f>
        <v>12</v>
      </c>
      <c r="L9" s="48">
        <f t="shared" ref="L9:L27" si="2">+((C9+D9+E9+F9)-(G9+H9+I9+J9))*-1</f>
        <v>0</v>
      </c>
      <c r="M9" s="97">
        <v>19</v>
      </c>
      <c r="N9" s="76">
        <v>21.5</v>
      </c>
    </row>
    <row r="10" spans="1:14">
      <c r="A10" s="29" t="s">
        <v>372</v>
      </c>
      <c r="B10" s="33">
        <f>SUM(C10:F10)</f>
        <v>6</v>
      </c>
      <c r="C10" s="34">
        <v>2</v>
      </c>
      <c r="D10" s="34">
        <v>1</v>
      </c>
      <c r="E10" s="34">
        <v>2</v>
      </c>
      <c r="F10" s="33">
        <v>1</v>
      </c>
      <c r="G10" s="48">
        <v>1</v>
      </c>
      <c r="H10" s="48">
        <v>3</v>
      </c>
      <c r="I10" s="48">
        <v>2</v>
      </c>
      <c r="J10" s="48">
        <v>2</v>
      </c>
      <c r="K10" s="48">
        <f>SUM(G10:J10)</f>
        <v>8</v>
      </c>
      <c r="L10" s="48">
        <f>+((C10+D10+E10+F10)-(G10+H10+I10+J10))*-1</f>
        <v>2</v>
      </c>
      <c r="M10" s="97">
        <v>8</v>
      </c>
      <c r="N10" s="76">
        <v>12</v>
      </c>
    </row>
    <row r="11" spans="1:14">
      <c r="A11" s="29" t="s">
        <v>305</v>
      </c>
      <c r="B11" s="33">
        <f>SUM(C11:F11)</f>
        <v>6</v>
      </c>
      <c r="C11" s="34">
        <v>1</v>
      </c>
      <c r="D11" s="34">
        <v>2</v>
      </c>
      <c r="E11" s="34">
        <v>2</v>
      </c>
      <c r="F11" s="33">
        <v>1</v>
      </c>
      <c r="G11" s="48"/>
      <c r="H11" s="48"/>
      <c r="I11" s="48">
        <v>1</v>
      </c>
      <c r="J11" s="48">
        <v>2</v>
      </c>
      <c r="K11" s="48">
        <f>SUM(G11:J11)</f>
        <v>3</v>
      </c>
      <c r="L11" s="48">
        <f>+((C11+D11+E11+F11)-(G11+H11+I11+J11))*-1</f>
        <v>-3</v>
      </c>
      <c r="M11" s="98">
        <v>4</v>
      </c>
      <c r="N11" s="76">
        <v>4</v>
      </c>
    </row>
    <row r="12" spans="1:14">
      <c r="A12" s="29" t="s">
        <v>373</v>
      </c>
      <c r="B12" s="33">
        <f>SUM(C12:F12)</f>
        <v>6</v>
      </c>
      <c r="C12" s="34">
        <v>1</v>
      </c>
      <c r="D12" s="34">
        <v>2</v>
      </c>
      <c r="E12" s="34">
        <v>2</v>
      </c>
      <c r="F12" s="33">
        <v>1</v>
      </c>
      <c r="G12" s="48">
        <v>2</v>
      </c>
      <c r="H12" s="48"/>
      <c r="I12" s="48">
        <v>2</v>
      </c>
      <c r="J12" s="48"/>
      <c r="K12" s="48">
        <f>SUM(G12:J12)</f>
        <v>4</v>
      </c>
      <c r="L12" s="48">
        <f>+((C12+D12+E12+F12)-(G12+H12+I12+J12))*-1</f>
        <v>-2</v>
      </c>
      <c r="M12" s="98">
        <v>2</v>
      </c>
      <c r="N12" s="76">
        <v>8.5</v>
      </c>
    </row>
    <row r="13" spans="1:14">
      <c r="A13" s="29" t="s">
        <v>263</v>
      </c>
      <c r="B13" s="33">
        <f>SUM(C13:F13)</f>
        <v>2</v>
      </c>
      <c r="C13" s="34">
        <v>0</v>
      </c>
      <c r="D13" s="34">
        <v>0</v>
      </c>
      <c r="E13" s="34">
        <v>2</v>
      </c>
      <c r="F13" s="33">
        <v>0</v>
      </c>
      <c r="G13" s="48"/>
      <c r="H13" s="48"/>
      <c r="I13" s="48">
        <v>2</v>
      </c>
      <c r="J13" s="48"/>
      <c r="K13" s="48">
        <f>SUM(G13:J13)</f>
        <v>2</v>
      </c>
      <c r="L13" s="48">
        <f>+((C13+D13+E13+F13)-(G13+H13+I13+J13))*-1</f>
        <v>0</v>
      </c>
      <c r="M13" s="98">
        <v>3</v>
      </c>
      <c r="N13" s="76">
        <v>4</v>
      </c>
    </row>
    <row r="14" spans="1:14">
      <c r="A14" s="99" t="s">
        <v>374</v>
      </c>
      <c r="B14" s="33">
        <f>SUM(C14:F14)</f>
        <v>3</v>
      </c>
      <c r="C14" s="34">
        <v>0</v>
      </c>
      <c r="D14" s="34">
        <v>1</v>
      </c>
      <c r="E14" s="34">
        <v>2</v>
      </c>
      <c r="F14" s="34">
        <v>0</v>
      </c>
      <c r="G14" s="48"/>
      <c r="H14" s="48"/>
      <c r="I14" s="48"/>
      <c r="J14" s="48"/>
      <c r="K14" s="48">
        <f>SUM(G14:J14)</f>
        <v>0</v>
      </c>
      <c r="L14" s="48">
        <f>+((C14+D14+E14+F14)-(G14+H14+I14+J14))*-1</f>
        <v>-3</v>
      </c>
      <c r="M14" s="98"/>
      <c r="N14" s="76">
        <v>0</v>
      </c>
    </row>
    <row r="15" spans="1:14">
      <c r="A15" s="29" t="s">
        <v>375</v>
      </c>
      <c r="B15" s="33">
        <f>SUM(C15:F15)</f>
        <v>11</v>
      </c>
      <c r="C15" s="34">
        <v>3</v>
      </c>
      <c r="D15" s="34">
        <v>3</v>
      </c>
      <c r="E15" s="34">
        <v>2</v>
      </c>
      <c r="F15" s="34">
        <v>3</v>
      </c>
      <c r="G15" s="48">
        <v>4</v>
      </c>
      <c r="H15" s="48">
        <v>5</v>
      </c>
      <c r="I15" s="48">
        <v>6</v>
      </c>
      <c r="J15" s="48">
        <v>5</v>
      </c>
      <c r="K15" s="48">
        <f>SUM(G15:J15)</f>
        <v>20</v>
      </c>
      <c r="L15" s="48">
        <f>+((C15+D15+E15+F15)-(G15+H15+I15+J15))*-1</f>
        <v>9</v>
      </c>
      <c r="M15" s="98">
        <v>16.5</v>
      </c>
      <c r="N15" s="76">
        <v>83.5</v>
      </c>
    </row>
    <row r="16" spans="1:14">
      <c r="A16" s="29" t="s">
        <v>350</v>
      </c>
      <c r="B16" s="33">
        <f>SUM(C16:F16)</f>
        <v>6</v>
      </c>
      <c r="C16" s="34"/>
      <c r="D16" s="34">
        <v>2</v>
      </c>
      <c r="E16" s="34">
        <v>2</v>
      </c>
      <c r="F16" s="34">
        <v>2</v>
      </c>
      <c r="G16" s="48">
        <v>2</v>
      </c>
      <c r="H16" s="48"/>
      <c r="I16" s="48">
        <v>3</v>
      </c>
      <c r="J16" s="48">
        <v>1</v>
      </c>
      <c r="K16" s="48">
        <f>SUM(G16:J16)</f>
        <v>6</v>
      </c>
      <c r="L16" s="48">
        <f>+((C16+D16+E16+F16)-(G16+H16+I16+J16))*-1</f>
        <v>0</v>
      </c>
      <c r="M16" s="98">
        <v>6.5</v>
      </c>
      <c r="N16" s="76">
        <v>7.5</v>
      </c>
    </row>
    <row r="17" spans="1:14">
      <c r="A17" s="29" t="s">
        <v>376</v>
      </c>
      <c r="B17" s="33">
        <f t="shared" ref="B17:B24" si="3">SUM(C17:F17)</f>
        <v>7</v>
      </c>
      <c r="C17" s="34">
        <v>2</v>
      </c>
      <c r="D17" s="34">
        <v>2</v>
      </c>
      <c r="E17" s="34">
        <v>2</v>
      </c>
      <c r="F17" s="34">
        <v>1</v>
      </c>
      <c r="G17" s="48"/>
      <c r="H17" s="48"/>
      <c r="I17" s="48">
        <v>1</v>
      </c>
      <c r="J17" s="48">
        <v>1</v>
      </c>
      <c r="K17" s="48">
        <f>SUM(G17:J17)</f>
        <v>2</v>
      </c>
      <c r="L17" s="48">
        <f>+((C17+D17+E17+F17)-(G17+H17+I17+J17))*-1</f>
        <v>-5</v>
      </c>
      <c r="M17" s="98">
        <v>2</v>
      </c>
      <c r="N17" s="76">
        <v>5</v>
      </c>
    </row>
    <row r="18" spans="1:14">
      <c r="A18" s="29" t="s">
        <v>377</v>
      </c>
      <c r="B18" s="33">
        <f>SUM(C18:F18)</f>
        <v>6</v>
      </c>
      <c r="C18" s="34">
        <v>2</v>
      </c>
      <c r="D18" s="34">
        <v>1</v>
      </c>
      <c r="E18" s="34">
        <v>2</v>
      </c>
      <c r="F18" s="34">
        <v>1</v>
      </c>
      <c r="G18" s="48"/>
      <c r="H18" s="48"/>
      <c r="I18" s="48">
        <v>1</v>
      </c>
      <c r="J18" s="48"/>
      <c r="K18" s="48">
        <f>SUM(G18:J18)</f>
        <v>1</v>
      </c>
      <c r="L18" s="48">
        <f>+((C18+D18+E18+F18)-(G18+H18+I18+J18))*-1</f>
        <v>-5</v>
      </c>
      <c r="M18" s="98"/>
      <c r="N18" s="76">
        <v>1</v>
      </c>
    </row>
    <row r="19" spans="1:14">
      <c r="A19" s="100" t="s">
        <v>378</v>
      </c>
      <c r="B19" s="33">
        <f>SUM(C19:F19)</f>
        <v>3</v>
      </c>
      <c r="C19" s="34">
        <v>0</v>
      </c>
      <c r="D19" s="34">
        <v>1</v>
      </c>
      <c r="E19" s="34">
        <v>2</v>
      </c>
      <c r="F19" s="34">
        <v>0</v>
      </c>
      <c r="G19" s="48"/>
      <c r="H19" s="48"/>
      <c r="I19" s="48"/>
      <c r="J19" s="48"/>
      <c r="K19" s="48">
        <f>SUM(G19:J19)</f>
        <v>0</v>
      </c>
      <c r="L19" s="48">
        <f>+((C19+D19+E19+F19)-(G19+H19+I19+J19))*-1</f>
        <v>-3</v>
      </c>
      <c r="M19" s="98"/>
      <c r="N19" s="76">
        <v>0</v>
      </c>
    </row>
    <row r="20" spans="1:14">
      <c r="A20" s="31" t="s">
        <v>379</v>
      </c>
      <c r="B20" s="33">
        <f>SUM(C20:F20)</f>
        <v>11</v>
      </c>
      <c r="C20" s="34">
        <v>3</v>
      </c>
      <c r="D20" s="34">
        <v>3</v>
      </c>
      <c r="E20" s="34">
        <v>2</v>
      </c>
      <c r="F20" s="34">
        <v>3</v>
      </c>
      <c r="G20" s="48">
        <v>1</v>
      </c>
      <c r="H20" s="48">
        <v>2</v>
      </c>
      <c r="I20" s="48">
        <v>10</v>
      </c>
      <c r="J20" s="48">
        <v>3</v>
      </c>
      <c r="K20" s="48">
        <f>SUM(G20:J20)</f>
        <v>16</v>
      </c>
      <c r="L20" s="48">
        <f>+((C20+D20+E20+F20)-(G20+H20+I20+J20))*-1</f>
        <v>5</v>
      </c>
      <c r="M20" s="98">
        <v>22</v>
      </c>
      <c r="N20" s="76">
        <v>28</v>
      </c>
    </row>
    <row r="21" spans="1:14">
      <c r="A21" s="31" t="s">
        <v>304</v>
      </c>
      <c r="B21" s="33">
        <f>SUM(C21:F21)</f>
        <v>6</v>
      </c>
      <c r="C21" s="34">
        <v>1</v>
      </c>
      <c r="D21" s="34">
        <v>2</v>
      </c>
      <c r="E21" s="34">
        <v>2</v>
      </c>
      <c r="F21" s="34">
        <v>1</v>
      </c>
      <c r="G21" s="48">
        <v>1</v>
      </c>
      <c r="H21" s="48">
        <v>0</v>
      </c>
      <c r="I21" s="48">
        <v>1</v>
      </c>
      <c r="J21" s="48">
        <v>0</v>
      </c>
      <c r="K21" s="48">
        <f>SUM(G21:J21)</f>
        <v>2</v>
      </c>
      <c r="L21" s="48">
        <f>+((C21+D21+E21+F21)-(G21+H21+I21+J21))*-1</f>
        <v>-4</v>
      </c>
      <c r="M21" s="98">
        <v>5.5</v>
      </c>
      <c r="N21" s="76">
        <v>5.5</v>
      </c>
    </row>
    <row r="22" spans="1:14">
      <c r="A22" s="31" t="s">
        <v>303</v>
      </c>
      <c r="B22" s="33">
        <f>SUM(C22:F22)</f>
        <v>7</v>
      </c>
      <c r="C22" s="34">
        <v>1</v>
      </c>
      <c r="D22" s="34">
        <v>2</v>
      </c>
      <c r="E22" s="34">
        <v>2</v>
      </c>
      <c r="F22" s="34">
        <v>2</v>
      </c>
      <c r="G22" s="48"/>
      <c r="H22" s="48">
        <v>1</v>
      </c>
      <c r="I22" s="48"/>
      <c r="J22" s="48">
        <v>1</v>
      </c>
      <c r="K22" s="48">
        <f>SUM(G22:J22)</f>
        <v>2</v>
      </c>
      <c r="L22" s="48">
        <f>+((C22+D22+E22+F22)-(G22+H22+I22+J22))*-1</f>
        <v>-5</v>
      </c>
      <c r="M22" s="98">
        <v>5</v>
      </c>
      <c r="N22" s="76">
        <v>5</v>
      </c>
    </row>
    <row r="23" spans="1:14">
      <c r="A23" s="31" t="s">
        <v>380</v>
      </c>
      <c r="B23" s="33">
        <f>SUM(C23:F23)</f>
        <v>6</v>
      </c>
      <c r="C23" s="34">
        <v>1</v>
      </c>
      <c r="D23" s="34">
        <v>2</v>
      </c>
      <c r="E23" s="34">
        <v>2</v>
      </c>
      <c r="F23" s="34">
        <v>1</v>
      </c>
      <c r="G23" s="48">
        <v>3</v>
      </c>
      <c r="H23" s="48">
        <v>1</v>
      </c>
      <c r="I23" s="48">
        <v>3</v>
      </c>
      <c r="J23" s="48">
        <v>3</v>
      </c>
      <c r="K23" s="48">
        <f>SUM(G23:J23)</f>
        <v>10</v>
      </c>
      <c r="L23" s="48">
        <f>+((C23+D23+E23+F23)-(G23+H23+I23+J23))*-1</f>
        <v>4</v>
      </c>
      <c r="M23" s="98">
        <v>2.5</v>
      </c>
      <c r="N23" s="76">
        <v>6.5</v>
      </c>
    </row>
    <row r="24" spans="1:14">
      <c r="A24" s="31" t="s">
        <v>381</v>
      </c>
      <c r="B24" s="33">
        <f>SUM(C24:F24)</f>
        <v>2</v>
      </c>
      <c r="C24" s="34">
        <v>0</v>
      </c>
      <c r="D24" s="34">
        <v>0</v>
      </c>
      <c r="E24" s="34">
        <v>2</v>
      </c>
      <c r="F24" s="34">
        <v>0</v>
      </c>
      <c r="G24" s="48"/>
      <c r="H24" s="48">
        <v>0</v>
      </c>
      <c r="I24" s="48"/>
      <c r="J24" s="48"/>
      <c r="K24" s="48">
        <f>SUM(G24:J24)</f>
        <v>0</v>
      </c>
      <c r="L24" s="48">
        <f>+((C24+D24+E24+F24)-(G24+H24+I24+J24))*-1</f>
        <v>-2</v>
      </c>
      <c r="M24" s="98"/>
      <c r="N24" s="76">
        <v>0</v>
      </c>
    </row>
    <row r="25" spans="1:14">
      <c r="A25" s="32" t="s">
        <v>268</v>
      </c>
      <c r="B25" s="33">
        <f>SUM(C25:F25)</f>
        <v>5</v>
      </c>
      <c r="C25" s="34">
        <v>1</v>
      </c>
      <c r="D25" s="34">
        <v>1</v>
      </c>
      <c r="E25" s="34">
        <v>2</v>
      </c>
      <c r="F25" s="34">
        <v>1</v>
      </c>
      <c r="G25" s="34">
        <v>1</v>
      </c>
      <c r="H25" s="35">
        <v>0</v>
      </c>
      <c r="I25" s="35"/>
      <c r="J25" s="35">
        <v>7</v>
      </c>
      <c r="K25" s="48">
        <f>SUM(G25:J25)</f>
        <v>8</v>
      </c>
      <c r="L25" s="48">
        <f>+((C25+D25+E25+F25)-(G25+H25+I25+J25))*-1</f>
        <v>3</v>
      </c>
      <c r="M25" s="73">
        <v>0</v>
      </c>
      <c r="N25" s="76">
        <v>14</v>
      </c>
    </row>
    <row r="26" spans="1:14">
      <c r="A26" s="36" t="s">
        <v>269</v>
      </c>
      <c r="B26" s="33">
        <f>SUM(C26:F26)</f>
        <v>6</v>
      </c>
      <c r="C26" s="37">
        <v>1</v>
      </c>
      <c r="D26" s="37">
        <v>1</v>
      </c>
      <c r="E26" s="34">
        <v>2</v>
      </c>
      <c r="F26" s="37">
        <v>2</v>
      </c>
      <c r="G26" s="38">
        <v>1</v>
      </c>
      <c r="H26" s="39">
        <v>3</v>
      </c>
      <c r="I26" s="39">
        <v>7</v>
      </c>
      <c r="J26" s="39">
        <v>4</v>
      </c>
      <c r="K26" s="48">
        <f>SUM(G26:J26)</f>
        <v>15</v>
      </c>
      <c r="L26" s="48">
        <f>+((C26+D26+E26+F26)-(G26+H26+I26+J26))*-1</f>
        <v>9</v>
      </c>
      <c r="M26" s="77">
        <v>19.5</v>
      </c>
      <c r="N26" s="76">
        <v>77.5</v>
      </c>
    </row>
    <row r="27" spans="1:14">
      <c r="A27" s="40" t="s">
        <v>161</v>
      </c>
      <c r="B27" s="33">
        <f>SUM(C27:F27)</f>
        <v>77</v>
      </c>
      <c r="C27" s="41">
        <f t="shared" ref="C27:J27" si="4">SUM(C8:C26)</f>
        <v>22</v>
      </c>
      <c r="D27" s="41">
        <f>SUM(D8:D26)</f>
        <v>30</v>
      </c>
      <c r="E27" s="34">
        <v>2</v>
      </c>
      <c r="F27" s="41">
        <f>SUM(F8:F26)</f>
        <v>23</v>
      </c>
      <c r="G27" s="41">
        <f>SUM(G8:G26)</f>
        <v>16</v>
      </c>
      <c r="H27" s="41">
        <f>SUM(H8:H26)</f>
        <v>15</v>
      </c>
      <c r="I27" s="41">
        <f>SUM(I8:I26)</f>
        <v>42</v>
      </c>
      <c r="J27" s="41">
        <f>SUM(J8:J26)</f>
        <v>38</v>
      </c>
      <c r="K27" s="48">
        <f>SUM(G27:J27)</f>
        <v>111</v>
      </c>
      <c r="L27" s="48">
        <f>+((C27+D27+E27+F27)-(G27+H27+I27+J27))*-1</f>
        <v>34</v>
      </c>
      <c r="M27" s="79">
        <f>SUM(M8:M26)</f>
        <v>115.5</v>
      </c>
      <c r="N27" s="102">
        <f>SUM(N8:N26)</f>
        <v>283.5</v>
      </c>
    </row>
    <row r="28" spans="1:15">
      <c r="A28" s="42" t="s">
        <v>40</v>
      </c>
      <c r="B28" s="43"/>
      <c r="C28" s="44" t="s">
        <v>14</v>
      </c>
      <c r="D28" s="45"/>
      <c r="E28" s="45"/>
      <c r="F28" s="46"/>
      <c r="G28" s="44"/>
      <c r="H28" s="45"/>
      <c r="I28" s="45"/>
      <c r="J28" s="46"/>
      <c r="K28" s="83"/>
      <c r="L28" s="84"/>
      <c r="M28" s="85"/>
      <c r="N28" s="103"/>
      <c r="O28" s="90"/>
    </row>
    <row r="29" ht="25.5" spans="1:15">
      <c r="A29" s="47" t="s">
        <v>16</v>
      </c>
      <c r="B29" s="47" t="s">
        <v>17</v>
      </c>
      <c r="C29" s="47" t="s">
        <v>152</v>
      </c>
      <c r="D29" s="47" t="s">
        <v>154</v>
      </c>
      <c r="E29" s="47" t="s">
        <v>123</v>
      </c>
      <c r="F29" s="47" t="s">
        <v>107</v>
      </c>
      <c r="G29" s="47" t="s">
        <v>152</v>
      </c>
      <c r="H29" s="47" t="s">
        <v>278</v>
      </c>
      <c r="I29" s="47" t="s">
        <v>123</v>
      </c>
      <c r="J29" s="47" t="s">
        <v>107</v>
      </c>
      <c r="K29" s="47" t="s">
        <v>22</v>
      </c>
      <c r="L29" s="47" t="s">
        <v>41</v>
      </c>
      <c r="M29" s="47" t="s">
        <v>42</v>
      </c>
      <c r="N29" s="89"/>
      <c r="O29" s="90"/>
    </row>
    <row r="30" spans="1:15">
      <c r="A30" s="29" t="s">
        <v>265</v>
      </c>
      <c r="B30" s="48">
        <f>SUM(C30:F30)</f>
        <v>11.5</v>
      </c>
      <c r="C30" s="35">
        <v>2.5</v>
      </c>
      <c r="D30" s="34">
        <v>3</v>
      </c>
      <c r="E30" s="34">
        <v>3</v>
      </c>
      <c r="F30" s="34">
        <v>3</v>
      </c>
      <c r="G30" s="49">
        <f>+(8700+8200+16430+58750+51000+87000+26650)/100000</f>
        <v>2.5673</v>
      </c>
      <c r="H30" s="50">
        <f>+(29050+50150+44135+55780+34200+114850+79750)/100000</f>
        <v>4.07915</v>
      </c>
      <c r="I30" s="50">
        <f>+(47560+92260+79300+20450+54230+66470)/100000</f>
        <v>3.6027</v>
      </c>
      <c r="J30" s="76">
        <f>+(53220+67500+30650+66690+51550+25640)/100000</f>
        <v>2.9525</v>
      </c>
      <c r="K30" s="76">
        <f>SUM(G30:J30)</f>
        <v>13.20165</v>
      </c>
      <c r="L30" s="50">
        <f>+((C30+D30+E30+F30)-(G30+H30+I30+J30))*-1</f>
        <v>1.70165</v>
      </c>
      <c r="M30" s="91">
        <f>+K30/B30</f>
        <v>1.14796956521739</v>
      </c>
      <c r="N30" s="89"/>
      <c r="O30" s="90"/>
    </row>
    <row r="31" spans="1:15">
      <c r="A31" s="29" t="s">
        <v>222</v>
      </c>
      <c r="B31" s="48">
        <f t="shared" ref="B31:B37" si="5">SUM(C31:F31)</f>
        <v>10.5</v>
      </c>
      <c r="C31" s="35">
        <v>2.5</v>
      </c>
      <c r="D31" s="34">
        <v>2.5</v>
      </c>
      <c r="E31" s="34">
        <v>2.5</v>
      </c>
      <c r="F31" s="34">
        <v>3</v>
      </c>
      <c r="G31" s="49">
        <f>+(10600+6500+18500+11650+18800+7800+7250)/100000</f>
        <v>0.811</v>
      </c>
      <c r="H31" s="50">
        <f>+(49600+17800+304700+25600+40980+28900)/100000</f>
        <v>4.6758</v>
      </c>
      <c r="I31" s="50">
        <f>+(26900+22150+26900+6400+18450+15600)/100000</f>
        <v>1.164</v>
      </c>
      <c r="J31" s="50">
        <f>+(6000+39950+16790+98600+30450+27300+115050)/100000</f>
        <v>3.3414</v>
      </c>
      <c r="K31" s="76">
        <f t="shared" ref="K31:K45" si="6">SUM(G31:J31)</f>
        <v>9.9922</v>
      </c>
      <c r="L31" s="50">
        <f t="shared" ref="L31:L45" si="7">+((C31+D31+E31+F31)-(G31+H31+I31+J31))*-1</f>
        <v>-0.5078</v>
      </c>
      <c r="M31" s="91">
        <f t="shared" ref="M31:M45" si="8">+K31/B31</f>
        <v>0.951638095238095</v>
      </c>
      <c r="N31" s="89"/>
      <c r="O31" s="90"/>
    </row>
    <row r="32" spans="1:15">
      <c r="A32" s="29" t="s">
        <v>266</v>
      </c>
      <c r="B32" s="48">
        <f>SUM(C32:F32)</f>
        <v>10.5</v>
      </c>
      <c r="C32" s="35">
        <v>3.5</v>
      </c>
      <c r="D32" s="34">
        <v>2</v>
      </c>
      <c r="E32" s="34">
        <v>2.5</v>
      </c>
      <c r="F32" s="34">
        <v>2.5</v>
      </c>
      <c r="G32" s="49">
        <f>+(60300+21800+15500+20400+22760+19900+13000)/100000</f>
        <v>1.7366</v>
      </c>
      <c r="H32" s="50">
        <f>+(16200+241400+16200+15800+56500+14400+32800)/100000</f>
        <v>3.933</v>
      </c>
      <c r="I32" s="50">
        <f>+(12100+25880+14900+28900+16000+35800)/100000</f>
        <v>1.3358</v>
      </c>
      <c r="J32" s="50">
        <f>+(11100+17600+16000+12550+11700+24050+44040)/100000</f>
        <v>1.3704</v>
      </c>
      <c r="K32" s="76">
        <f>SUM(G32:J32)</f>
        <v>8.3758</v>
      </c>
      <c r="L32" s="50">
        <f>+((C32+D32+E32+F32)-(G32+H32+I32+J32))*-1</f>
        <v>-2.1242</v>
      </c>
      <c r="M32" s="91">
        <f>+K32/B32</f>
        <v>0.797695238095238</v>
      </c>
      <c r="N32" s="92"/>
      <c r="O32" s="93"/>
    </row>
    <row r="33" spans="1:15">
      <c r="A33" s="29" t="s">
        <v>209</v>
      </c>
      <c r="B33" s="48">
        <f>SUM(C33:F33)</f>
        <v>19.5</v>
      </c>
      <c r="C33" s="34">
        <v>4.5</v>
      </c>
      <c r="D33" s="34">
        <v>5</v>
      </c>
      <c r="E33" s="34">
        <v>4</v>
      </c>
      <c r="F33" s="34">
        <v>6</v>
      </c>
      <c r="G33" s="49">
        <f>+(32500+21700+19000+52100+27000+76100+44300)/100000</f>
        <v>2.727</v>
      </c>
      <c r="H33" s="50">
        <f>+(61800+62900+76390+28520+21500+33900+34600)/100000</f>
        <v>3.1961</v>
      </c>
      <c r="I33" s="50">
        <f>+(26800+42400+35940+27000+32500+46200)/100000</f>
        <v>2.1084</v>
      </c>
      <c r="J33" s="50">
        <f>+(40300+62800+48300+68900+71300+39900+37400)/100000</f>
        <v>3.689</v>
      </c>
      <c r="K33" s="76">
        <f>SUM(G33:J33)</f>
        <v>11.7205</v>
      </c>
      <c r="L33" s="50">
        <f>+((C33+D33+E33+F33)-(G33+H33+I33+J33))*-1</f>
        <v>-7.7795</v>
      </c>
      <c r="M33" s="91">
        <f>+K33/B33</f>
        <v>0.601051282051282</v>
      </c>
      <c r="N33" s="92"/>
      <c r="O33" s="93"/>
    </row>
    <row r="34" spans="1:15">
      <c r="A34" s="51" t="s">
        <v>293</v>
      </c>
      <c r="B34" s="48">
        <f t="shared" ref="B34:B35" si="9">SUM(C34:F34)</f>
        <v>17</v>
      </c>
      <c r="C34" s="35">
        <v>4</v>
      </c>
      <c r="D34" s="34">
        <v>4</v>
      </c>
      <c r="E34" s="34">
        <v>5</v>
      </c>
      <c r="F34" s="34">
        <v>4</v>
      </c>
      <c r="G34" s="49">
        <f>+(51650+32700+38000+27700+65950+47962+45000)/100000</f>
        <v>3.08962</v>
      </c>
      <c r="H34" s="50">
        <f>+(28200+41200+36700+56600+66000+46000+71600)/100000</f>
        <v>3.463</v>
      </c>
      <c r="I34" s="50">
        <f>+(57800+107750+120600+85050+41700+61200)/100000</f>
        <v>4.741</v>
      </c>
      <c r="J34" s="50">
        <f>+(101100+41400+63285+42500+45900+20432+43400)/100000</f>
        <v>3.58017</v>
      </c>
      <c r="K34" s="76">
        <f t="shared" ref="K34:K35" si="10">SUM(G34:J34)</f>
        <v>14.87379</v>
      </c>
      <c r="L34" s="50">
        <f>+((C34+D34+E34+F34)-(G34+H34+I34+J34))*-1</f>
        <v>-2.12621</v>
      </c>
      <c r="M34" s="91">
        <f>+K34/B34</f>
        <v>0.874928823529412</v>
      </c>
      <c r="N34" s="92"/>
      <c r="O34" s="93"/>
    </row>
    <row r="35" spans="1:15">
      <c r="A35" s="51" t="s">
        <v>261</v>
      </c>
      <c r="B35" s="48">
        <f>SUM(C35:F35)</f>
        <v>12.5</v>
      </c>
      <c r="C35" s="35">
        <v>3</v>
      </c>
      <c r="D35" s="34">
        <v>3</v>
      </c>
      <c r="E35" s="34">
        <v>3</v>
      </c>
      <c r="F35" s="34">
        <v>3.5</v>
      </c>
      <c r="G35" s="49">
        <f>+(32850+38450+32350+74450+59500+35350+41750)/100000</f>
        <v>3.147</v>
      </c>
      <c r="H35" s="50">
        <f>+(38300+34750+121110+48450+34450+61600+56950)/100000</f>
        <v>3.9561</v>
      </c>
      <c r="I35" s="50">
        <f>+(35050+63400+39000+7400+62550+39050)/100000</f>
        <v>2.4645</v>
      </c>
      <c r="J35" s="50">
        <f>+(55100+106100+36800+19350+73750+25650+47550)/100000</f>
        <v>3.643</v>
      </c>
      <c r="K35" s="76">
        <f>SUM(G35:J35)</f>
        <v>13.2106</v>
      </c>
      <c r="L35" s="50">
        <f>+((C35+D35+E35+F35)-(G35+H35+I35+J35))*-1</f>
        <v>0.710599999999999</v>
      </c>
      <c r="M35" s="91">
        <f>+K35/B35</f>
        <v>1.056848</v>
      </c>
      <c r="N35" s="92"/>
      <c r="O35" s="93"/>
    </row>
    <row r="36" spans="1:15">
      <c r="A36" s="51" t="s">
        <v>263</v>
      </c>
      <c r="B36" s="48">
        <f>SUM(C36:F36)</f>
        <v>8.75</v>
      </c>
      <c r="C36" s="35">
        <v>2</v>
      </c>
      <c r="D36" s="52">
        <v>2</v>
      </c>
      <c r="E36" s="52">
        <v>2</v>
      </c>
      <c r="F36" s="52">
        <v>2.75</v>
      </c>
      <c r="G36" s="49">
        <f>+(12900+14400+26650+43400+37700+22400+24700)/100000</f>
        <v>1.8215</v>
      </c>
      <c r="H36" s="50">
        <f>+(28200+41200+32773+75200+48300+35050+36100)/100000</f>
        <v>2.96823</v>
      </c>
      <c r="I36" s="50">
        <f>+(40800+38700+38100+55500+23400+35330)/100000</f>
        <v>2.3183</v>
      </c>
      <c r="J36" s="50">
        <f>+(33550+29400+28420+33340+34050+30900+35900)/100000</f>
        <v>2.2556</v>
      </c>
      <c r="K36" s="76">
        <f>SUM(G36:J36)</f>
        <v>9.36363</v>
      </c>
      <c r="L36" s="50">
        <f>+((C36+D36+E36+F36)-(G36+H36+I36+J36))*-1</f>
        <v>0.613630000000001</v>
      </c>
      <c r="M36" s="91">
        <f>+K36/B36</f>
        <v>1.07012914285714</v>
      </c>
      <c r="N36" s="94"/>
      <c r="O36" s="95"/>
    </row>
    <row r="37" spans="1:15">
      <c r="A37" s="51" t="s">
        <v>271</v>
      </c>
      <c r="B37" s="48">
        <f>SUM(C37:F37)</f>
        <v>10.5</v>
      </c>
      <c r="C37" s="35">
        <v>3</v>
      </c>
      <c r="D37" s="52">
        <v>2</v>
      </c>
      <c r="E37" s="52">
        <v>2.5</v>
      </c>
      <c r="F37" s="52">
        <v>3</v>
      </c>
      <c r="G37" s="49">
        <f>+(18600+8950+8200+65200+65000+18400+20500)/100000</f>
        <v>2.0485</v>
      </c>
      <c r="H37" s="50">
        <f>+(4000+24800+6700+14127+18700+9060+26995)/100000</f>
        <v>1.04382</v>
      </c>
      <c r="I37" s="50">
        <f>+(6495+20695+5660+25860+12200+31600)/100000</f>
        <v>1.0251</v>
      </c>
      <c r="J37" s="50">
        <f>+(8700+20800+72300+36300+5900+90000+11600)/100000</f>
        <v>2.456</v>
      </c>
      <c r="K37" s="76">
        <f>SUM(G37:J37)</f>
        <v>6.57342</v>
      </c>
      <c r="L37" s="50">
        <f>+((C37+D37+E37+F37)-(G37+H37+I37+J37))*-1</f>
        <v>-3.92658</v>
      </c>
      <c r="M37" s="91">
        <f>+K37/B37</f>
        <v>0.62604</v>
      </c>
      <c r="N37" s="92"/>
      <c r="O37" s="93"/>
    </row>
    <row r="38" spans="1:15">
      <c r="A38" s="51" t="s">
        <v>262</v>
      </c>
      <c r="B38" s="48">
        <f t="shared" ref="B38:B45" si="11">SUM(C38:F38)</f>
        <v>16.5</v>
      </c>
      <c r="C38" s="35">
        <v>3.5</v>
      </c>
      <c r="D38" s="52">
        <v>4</v>
      </c>
      <c r="E38" s="52">
        <v>4</v>
      </c>
      <c r="F38" s="52">
        <v>5</v>
      </c>
      <c r="G38" s="49">
        <f>+(13800+18600+25200+102400+35600+22560+268700)/100000</f>
        <v>4.8686</v>
      </c>
      <c r="H38" s="50">
        <f>+(62300+90250+47600+47200+53100+30000+40100)/100000</f>
        <v>3.7055</v>
      </c>
      <c r="I38" s="50">
        <f>+(79100+191700+45400+44790+11800+14100)/100000</f>
        <v>3.8689</v>
      </c>
      <c r="J38" s="50">
        <f>+(72300+51800+64500+36350+36300+40200+38150)/100000</f>
        <v>3.396</v>
      </c>
      <c r="K38" s="76">
        <f>SUM(G38:J38)</f>
        <v>15.839</v>
      </c>
      <c r="L38" s="50">
        <f>+((C38+D38+E38+F38)-(G38+H38+I38+J38))*-1</f>
        <v>-0.661000000000001</v>
      </c>
      <c r="M38" s="91">
        <f>+K38/B38</f>
        <v>0.959939393939394</v>
      </c>
      <c r="N38" s="92"/>
      <c r="O38" s="93"/>
    </row>
    <row r="39" spans="1:15">
      <c r="A39" s="51" t="s">
        <v>382</v>
      </c>
      <c r="B39" s="48">
        <f>SUM(C39:F39)</f>
        <v>8.5</v>
      </c>
      <c r="C39" s="35">
        <v>2.5</v>
      </c>
      <c r="D39" s="52">
        <v>2</v>
      </c>
      <c r="E39" s="52">
        <v>2</v>
      </c>
      <c r="F39" s="52">
        <v>2</v>
      </c>
      <c r="G39" s="49">
        <f>+(1000+5600+19200+17100+18700+31500+12700)/100000</f>
        <v>1.058</v>
      </c>
      <c r="H39" s="50">
        <f>+(14100+45400+15600+25400+15700+31550+13500)/100000</f>
        <v>1.6125</v>
      </c>
      <c r="I39" s="50">
        <f>+(16050+28300+57840+26400+38200+8300)/100000</f>
        <v>1.7509</v>
      </c>
      <c r="J39" s="50">
        <f>+(35460+35900+53500+29900+16300+71400+42700)/100000</f>
        <v>2.8516</v>
      </c>
      <c r="K39" s="76">
        <f>SUM(G39:J39)</f>
        <v>7.273</v>
      </c>
      <c r="L39" s="50">
        <f>+((C39+D39+E39+F39)-(G39+H39+I39+J39))*-1</f>
        <v>-1.227</v>
      </c>
      <c r="M39" s="91">
        <f>+K39/B39</f>
        <v>0.855647058823529</v>
      </c>
      <c r="N39" s="92"/>
      <c r="O39" s="93"/>
    </row>
    <row r="40" spans="1:15">
      <c r="A40" s="51" t="s">
        <v>362</v>
      </c>
      <c r="B40" s="48">
        <f>SUM(C40:F40)</f>
        <v>3.5</v>
      </c>
      <c r="C40" s="35">
        <v>1.5</v>
      </c>
      <c r="D40" s="52">
        <v>1</v>
      </c>
      <c r="E40" s="52">
        <v>0.5</v>
      </c>
      <c r="F40" s="52">
        <v>0.5</v>
      </c>
      <c r="G40" s="49">
        <f>+(110250+20250+2800)/100000</f>
        <v>1.333</v>
      </c>
      <c r="H40" s="50">
        <f>+(11500+4900+12500)/100000</f>
        <v>0.289</v>
      </c>
      <c r="I40" s="50">
        <f>+(17000+19600+3550+109800)/100000</f>
        <v>1.4995</v>
      </c>
      <c r="J40" s="50">
        <f>+(9900+13200)/100000</f>
        <v>0.231</v>
      </c>
      <c r="K40" s="76">
        <f>SUM(G40:J40)</f>
        <v>3.3525</v>
      </c>
      <c r="L40" s="50">
        <f>+((C40+D40+E40+F40)-(G40+H40+I40+J40))*-1</f>
        <v>-0.1475</v>
      </c>
      <c r="M40" s="91">
        <f>+K40/B40</f>
        <v>0.957857142857143</v>
      </c>
      <c r="N40" s="92"/>
      <c r="O40" s="93"/>
    </row>
    <row r="41" spans="1:15">
      <c r="A41" s="51" t="s">
        <v>383</v>
      </c>
      <c r="B41" s="48">
        <f>SUM(C41:F41)</f>
        <v>5.5</v>
      </c>
      <c r="C41" s="35">
        <v>1</v>
      </c>
      <c r="D41" s="52">
        <v>1.5</v>
      </c>
      <c r="E41" s="52">
        <v>1</v>
      </c>
      <c r="F41" s="52">
        <v>2</v>
      </c>
      <c r="G41" s="49">
        <f>+(8200+8900+7400+16880+2800)/100000</f>
        <v>0.4418</v>
      </c>
      <c r="H41" s="50">
        <f>+(24200+13300+13800+22800+15500+14100+12600)/100000</f>
        <v>1.163</v>
      </c>
      <c r="I41" s="50">
        <f>+(16300+51900+17800+23740+56580+17100)/100000</f>
        <v>1.8342</v>
      </c>
      <c r="J41" s="50">
        <f>+(16100+18000+15800+16900+21800+35700+59900)/100000</f>
        <v>1.842</v>
      </c>
      <c r="K41" s="76">
        <f>SUM(G41:J41)</f>
        <v>5.281</v>
      </c>
      <c r="L41" s="50">
        <f>+((C41+D41+E41+F41)-(G41+H41+I41+J41))*-1</f>
        <v>-0.218999999999999</v>
      </c>
      <c r="M41" s="91">
        <f>+K41/B41</f>
        <v>0.960181818181818</v>
      </c>
      <c r="N41" s="92"/>
      <c r="O41" s="93"/>
    </row>
    <row r="42" spans="1:15">
      <c r="A42" s="53" t="s">
        <v>351</v>
      </c>
      <c r="B42" s="48">
        <f>SUM(C42:F42)</f>
        <v>8</v>
      </c>
      <c r="C42" s="35">
        <v>1.5</v>
      </c>
      <c r="D42" s="52">
        <v>2</v>
      </c>
      <c r="E42" s="52">
        <v>2</v>
      </c>
      <c r="F42" s="52">
        <v>2.5</v>
      </c>
      <c r="G42" s="49">
        <f>+(6500+10800+2200+4000+15800+10200+9600)/100000</f>
        <v>0.591</v>
      </c>
      <c r="H42" s="50">
        <f>+(19000+2700+1600+6300+2400+2400)/100000</f>
        <v>0.344</v>
      </c>
      <c r="I42" s="50">
        <f>+(4200+12400+6500+2700+243500)/100000</f>
        <v>2.693</v>
      </c>
      <c r="J42" s="50">
        <f>+(50500+13800+6100+5900+6100+163400+4600)/100000</f>
        <v>2.504</v>
      </c>
      <c r="K42" s="76">
        <f>SUM(G42:J42)</f>
        <v>6.132</v>
      </c>
      <c r="L42" s="50">
        <f>+((C42+D42+E42+F42)-(G42+H42+I42+J42))*-1</f>
        <v>-1.868</v>
      </c>
      <c r="M42" s="91">
        <f>+K42/B42</f>
        <v>0.7665</v>
      </c>
      <c r="N42" s="92"/>
      <c r="O42" s="93"/>
    </row>
    <row r="43" spans="1:15">
      <c r="A43" s="53" t="s">
        <v>35</v>
      </c>
      <c r="B43" s="48">
        <f>SUM(C43:F43)</f>
        <v>0.75</v>
      </c>
      <c r="C43" s="35">
        <v>0</v>
      </c>
      <c r="D43" s="52">
        <v>0.5</v>
      </c>
      <c r="E43" s="52">
        <v>0</v>
      </c>
      <c r="F43" s="52">
        <v>0.25</v>
      </c>
      <c r="G43" s="49"/>
      <c r="H43" s="50">
        <f>+(30988)/100000</f>
        <v>0.30988</v>
      </c>
      <c r="I43" s="50"/>
      <c r="J43" s="50">
        <f>+(52800)/100000</f>
        <v>0.528</v>
      </c>
      <c r="K43" s="76">
        <f>SUM(G43:J43)</f>
        <v>0.83788</v>
      </c>
      <c r="L43" s="50">
        <f>+((C43+D43+E43+F43)-(G43+H43+I43+J43))*-1</f>
        <v>0.08788</v>
      </c>
      <c r="M43" s="91">
        <f>+K43/B43</f>
        <v>1.11717333333333</v>
      </c>
      <c r="N43" s="92"/>
      <c r="O43" s="93"/>
    </row>
    <row r="44" spans="1:15">
      <c r="A44" s="53" t="s">
        <v>38</v>
      </c>
      <c r="B44" s="48">
        <f>SUM(C44:F44)</f>
        <v>20</v>
      </c>
      <c r="C44" s="35">
        <v>4</v>
      </c>
      <c r="D44" s="52">
        <v>5</v>
      </c>
      <c r="E44" s="52">
        <v>4.5</v>
      </c>
      <c r="F44" s="52">
        <v>6.5</v>
      </c>
      <c r="G44" s="49">
        <f>+(41240+3950+71680+24400+96980+18000+800+22100+210200+26000+600+37800+10300+4935)/100000</f>
        <v>5.68985</v>
      </c>
      <c r="H44" s="50">
        <f>+(54470+39850+108660+30920+17600+39610+37500+14200+4400+30900+8900+19460)/100000</f>
        <v>4.0647</v>
      </c>
      <c r="I44" s="50">
        <f>+(71400+37600+15925+13200+19800+47460+33600)/100000</f>
        <v>2.38985</v>
      </c>
      <c r="J44" s="50">
        <f>+(33160+15849+19000+10000+3600+1400+54055+115400+44000+1400+470360+10000+1400+200+1400+34480+4000+112000)/100000</f>
        <v>9.31704</v>
      </c>
      <c r="K44" s="76">
        <f>SUM(G44:J44)</f>
        <v>21.46144</v>
      </c>
      <c r="L44" s="50">
        <f>+((C44+D44+E44+F44)-(G44+H44+I44+J44))*-1</f>
        <v>1.46144</v>
      </c>
      <c r="M44" s="91">
        <f>+K44/B44</f>
        <v>1.073072</v>
      </c>
      <c r="N44" s="92"/>
      <c r="O44" s="93"/>
    </row>
    <row r="45" spans="1:15">
      <c r="A45" s="54" t="s">
        <v>44</v>
      </c>
      <c r="B45" s="48">
        <f>SUM(C45:F45)</f>
        <v>163.5</v>
      </c>
      <c r="C45" s="35">
        <f t="shared" ref="C45:J45" si="12">SUM(C30:C44)</f>
        <v>39</v>
      </c>
      <c r="D45" s="48">
        <f>SUM(D30:D44)</f>
        <v>39.5</v>
      </c>
      <c r="E45" s="48">
        <f>SUM(E30:E44)</f>
        <v>38.5</v>
      </c>
      <c r="F45" s="48">
        <f>SUM(F30:F44)</f>
        <v>46.5</v>
      </c>
      <c r="G45" s="49">
        <f>SUM(G30:G44)</f>
        <v>31.93077</v>
      </c>
      <c r="H45" s="50">
        <f>SUM(H30:H44)</f>
        <v>38.80378</v>
      </c>
      <c r="I45" s="50">
        <f>SUM(I30:I44)</f>
        <v>32.79615</v>
      </c>
      <c r="J45" s="50">
        <f>SUM(J30:J44)</f>
        <v>43.95771</v>
      </c>
      <c r="K45" s="76">
        <f>SUM(G45:J45)</f>
        <v>147.48841</v>
      </c>
      <c r="L45" s="50">
        <f>+((C45+D45+E45+F45)-(G45+H45+I45+J45))*-1</f>
        <v>-16.01159</v>
      </c>
      <c r="M45" s="91">
        <f>+K45/B45</f>
        <v>0.902069785932722</v>
      </c>
      <c r="N45" s="92"/>
      <c r="O45" s="93"/>
    </row>
    <row r="46" spans="1:15">
      <c r="A46" s="55"/>
      <c r="B46" s="56"/>
      <c r="C46" s="57"/>
      <c r="N46" s="94"/>
      <c r="O46" s="95"/>
    </row>
    <row r="47" spans="14:15">
      <c r="N47" s="92"/>
      <c r="O47" s="93"/>
    </row>
    <row r="48" spans="14:15">
      <c r="N48" s="92"/>
      <c r="O48" s="93"/>
    </row>
    <row r="49" spans="2:15">
      <c r="B49" s="1"/>
      <c r="N49" s="92"/>
      <c r="O49" s="93"/>
    </row>
    <row r="50" spans="2:15">
      <c r="B50" s="1"/>
      <c r="N50" s="92"/>
      <c r="O50" s="93"/>
    </row>
    <row r="51" spans="2:15">
      <c r="B51" s="1"/>
      <c r="N51" s="92"/>
      <c r="O51" s="93"/>
    </row>
    <row r="52" spans="2:15">
      <c r="B52" s="1"/>
      <c r="N52" s="92"/>
      <c r="O52" s="93"/>
    </row>
    <row r="53" spans="2:15">
      <c r="B53" s="1"/>
      <c r="N53" s="92"/>
      <c r="O53" s="93"/>
    </row>
    <row r="54" spans="2:15">
      <c r="B54" s="1"/>
      <c r="N54" s="92"/>
      <c r="O54" s="93"/>
    </row>
    <row r="55" spans="2:15">
      <c r="B55" s="1"/>
      <c r="N55" s="92"/>
      <c r="O55" s="93"/>
    </row>
    <row r="56" spans="2:15">
      <c r="B56" s="1"/>
      <c r="N56" s="94"/>
      <c r="O56" s="95"/>
    </row>
    <row r="57" spans="2:15">
      <c r="B57" s="1"/>
      <c r="N57" s="92"/>
      <c r="O57" s="93"/>
    </row>
    <row r="58" spans="2:15">
      <c r="B58" s="1"/>
      <c r="N58" s="92"/>
      <c r="O58" s="93"/>
    </row>
    <row r="59" spans="2:15">
      <c r="B59" s="1"/>
      <c r="N59" s="92"/>
      <c r="O59" s="93"/>
    </row>
    <row r="60" spans="2:15">
      <c r="B60" s="1"/>
      <c r="N60" s="92"/>
      <c r="O60" s="93"/>
    </row>
    <row r="61" spans="2:15">
      <c r="B61" s="1"/>
      <c r="N61" s="92"/>
      <c r="O61" s="93"/>
    </row>
    <row r="62" spans="2:15">
      <c r="B62" s="1"/>
      <c r="N62" s="92"/>
      <c r="O62" s="93"/>
    </row>
    <row r="63" spans="2:15">
      <c r="B63" s="1"/>
      <c r="N63" s="92"/>
      <c r="O63" s="93"/>
    </row>
    <row r="64" spans="2:15">
      <c r="B64" s="1"/>
      <c r="N64" s="94"/>
      <c r="O64" s="95"/>
    </row>
    <row r="65" spans="2:15">
      <c r="B65" s="1"/>
      <c r="N65" s="92"/>
      <c r="O65" s="93"/>
    </row>
    <row r="66" spans="2:15">
      <c r="B66" s="1"/>
      <c r="N66" s="92"/>
      <c r="O66" s="93"/>
    </row>
    <row r="67" spans="2:15">
      <c r="B67" s="1"/>
      <c r="N67" s="92"/>
      <c r="O67" s="93"/>
    </row>
    <row r="68" spans="2:15">
      <c r="B68" s="1"/>
      <c r="N68" s="92"/>
      <c r="O68" s="93"/>
    </row>
    <row r="69" spans="2:15">
      <c r="B69" s="1"/>
      <c r="N69" s="92"/>
      <c r="O69" s="93"/>
    </row>
    <row r="70" spans="2:15">
      <c r="B70" s="1"/>
      <c r="N70" s="92"/>
      <c r="O70" s="93"/>
    </row>
    <row r="71" spans="2:15">
      <c r="B71" s="1"/>
      <c r="N71" s="92"/>
      <c r="O71" s="93"/>
    </row>
    <row r="72" spans="2:15">
      <c r="B72" s="1"/>
      <c r="N72" s="92"/>
      <c r="O72" s="96"/>
    </row>
  </sheetData>
  <mergeCells count="5">
    <mergeCell ref="D5:F5"/>
    <mergeCell ref="C6:F6"/>
    <mergeCell ref="G6:J6"/>
    <mergeCell ref="C28:F28"/>
    <mergeCell ref="G28:J28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74"/>
  <sheetViews>
    <sheetView topLeftCell="E2" workbookViewId="0">
      <selection activeCell="R27" sqref="R27"/>
    </sheetView>
  </sheetViews>
  <sheetFormatPr defaultColWidth="9" defaultRowHeight="15"/>
  <cols>
    <col min="1" max="1" width="17.4285714285714" style="1" customWidth="1"/>
    <col min="2" max="2" width="9" style="2" customWidth="1"/>
    <col min="3" max="3" width="8.42857142857143" style="1" customWidth="1"/>
    <col min="4" max="4" width="8.57142857142857" style="1" customWidth="1"/>
    <col min="5" max="5" width="8.28571428571429" style="1" customWidth="1"/>
    <col min="6" max="6" width="8.71428571428571" style="1" customWidth="1"/>
    <col min="7" max="7" width="8.28571428571429" style="1" customWidth="1"/>
    <col min="8" max="8" width="8.85714285714286" style="1" customWidth="1"/>
    <col min="9" max="9" width="10.1428571428571" style="1" customWidth="1"/>
    <col min="10" max="10" width="10" style="1" customWidth="1"/>
    <col min="11" max="11" width="10.7142857142857" style="1" customWidth="1"/>
    <col min="12" max="12" width="11.4285714285714" style="1" customWidth="1"/>
    <col min="13" max="13" width="7.85714285714286" style="1" customWidth="1"/>
    <col min="14" max="14" width="10.5714285714286" style="1" customWidth="1"/>
    <col min="15" max="15" width="9.14285714285714" style="1"/>
    <col min="16" max="16" width="16.7142857142857" style="1" customWidth="1"/>
    <col min="17" max="16384" width="9.14285714285714" style="1"/>
  </cols>
  <sheetData>
    <row r="1" spans="1:13">
      <c r="A1" s="3" t="s">
        <v>384</v>
      </c>
      <c r="B1" s="4" t="s">
        <v>385</v>
      </c>
      <c r="C1" s="5"/>
      <c r="D1" s="5"/>
      <c r="E1" s="5"/>
      <c r="F1" s="5"/>
      <c r="G1" s="5"/>
      <c r="H1" s="5"/>
      <c r="I1" s="5"/>
      <c r="J1" s="5"/>
      <c r="K1" s="5"/>
      <c r="L1" s="5"/>
      <c r="M1" s="58"/>
    </row>
    <row r="2" spans="1:14">
      <c r="A2" s="6" t="s">
        <v>386</v>
      </c>
      <c r="B2" s="7">
        <f>+K29</f>
        <v>110</v>
      </c>
      <c r="C2" s="8"/>
      <c r="D2" s="8"/>
      <c r="E2" s="8"/>
      <c r="F2" s="8"/>
      <c r="G2" s="9"/>
      <c r="H2" s="10"/>
      <c r="I2" s="59"/>
      <c r="J2" s="10"/>
      <c r="K2" s="10"/>
      <c r="L2" s="10"/>
      <c r="M2" s="8"/>
      <c r="N2" s="60"/>
    </row>
    <row r="3" spans="1:14">
      <c r="A3" s="6" t="s">
        <v>366</v>
      </c>
      <c r="B3" s="7">
        <f>+L29</f>
        <v>270.5</v>
      </c>
      <c r="C3" s="8"/>
      <c r="D3" s="8"/>
      <c r="E3" s="8"/>
      <c r="F3" s="8"/>
      <c r="G3" s="9"/>
      <c r="H3" s="10"/>
      <c r="I3" s="10"/>
      <c r="J3" s="10"/>
      <c r="K3" s="10"/>
      <c r="L3" s="61"/>
      <c r="M3" s="62"/>
      <c r="N3" s="60"/>
    </row>
    <row r="4" spans="1:14">
      <c r="A4" s="6" t="s">
        <v>387</v>
      </c>
      <c r="B4" s="11"/>
      <c r="C4" s="12"/>
      <c r="D4" s="13" t="s">
        <v>5</v>
      </c>
      <c r="E4" s="12">
        <v>13.5</v>
      </c>
      <c r="F4" s="12"/>
      <c r="G4" s="14"/>
      <c r="H4" s="15"/>
      <c r="I4" s="62" t="s">
        <v>7</v>
      </c>
      <c r="J4" s="13">
        <f>+K47</f>
        <v>140.26737</v>
      </c>
      <c r="K4" s="12" t="s">
        <v>8</v>
      </c>
      <c r="L4" s="12" t="s">
        <v>275</v>
      </c>
      <c r="M4" s="12"/>
      <c r="N4" s="60"/>
    </row>
    <row r="5" spans="1:14">
      <c r="A5" s="16" t="s">
        <v>10</v>
      </c>
      <c r="B5" s="17" t="s">
        <v>388</v>
      </c>
      <c r="C5" s="18" t="s">
        <v>151</v>
      </c>
      <c r="D5" s="19">
        <v>15882000</v>
      </c>
      <c r="E5" s="19"/>
      <c r="F5" s="19"/>
      <c r="G5" s="20"/>
      <c r="H5" s="21"/>
      <c r="I5" s="62"/>
      <c r="J5" s="62"/>
      <c r="K5" s="62"/>
      <c r="L5" s="62"/>
      <c r="M5" s="62"/>
      <c r="N5" s="60"/>
    </row>
    <row r="6" spans="1:14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64"/>
      <c r="N6" s="60"/>
    </row>
    <row r="7" ht="38.25" spans="1:16">
      <c r="A7" s="25" t="s">
        <v>16</v>
      </c>
      <c r="B7" s="25" t="s">
        <v>317</v>
      </c>
      <c r="C7" s="25" t="s">
        <v>18</v>
      </c>
      <c r="D7" s="25" t="s">
        <v>389</v>
      </c>
      <c r="E7" s="25" t="s">
        <v>20</v>
      </c>
      <c r="F7" s="25" t="s">
        <v>390</v>
      </c>
      <c r="G7" s="25" t="s">
        <v>18</v>
      </c>
      <c r="H7" s="25" t="s">
        <v>19</v>
      </c>
      <c r="I7" s="25" t="s">
        <v>391</v>
      </c>
      <c r="J7" s="25" t="s">
        <v>21</v>
      </c>
      <c r="K7" s="25" t="s">
        <v>386</v>
      </c>
      <c r="L7" s="65" t="s">
        <v>392</v>
      </c>
      <c r="M7" s="65" t="s">
        <v>393</v>
      </c>
      <c r="N7" s="66" t="s">
        <v>394</v>
      </c>
      <c r="O7" s="65" t="s">
        <v>395</v>
      </c>
      <c r="P7" s="67" t="s">
        <v>396</v>
      </c>
    </row>
    <row r="8" spans="1:16">
      <c r="A8" s="26" t="s">
        <v>371</v>
      </c>
      <c r="B8" s="33">
        <f t="shared" ref="B8:B29" si="0">SUM(C8:F8)</f>
        <v>2</v>
      </c>
      <c r="C8" s="34">
        <v>0</v>
      </c>
      <c r="D8" s="34">
        <v>1</v>
      </c>
      <c r="E8" s="34">
        <v>1</v>
      </c>
      <c r="F8" s="33">
        <v>0</v>
      </c>
      <c r="G8" s="48"/>
      <c r="H8" s="48"/>
      <c r="I8" s="48"/>
      <c r="J8" s="48"/>
      <c r="K8" s="48">
        <f t="shared" ref="K8:K29" si="1">SUM(G8:J8)</f>
        <v>0</v>
      </c>
      <c r="L8" s="48"/>
      <c r="M8" s="97">
        <v>1</v>
      </c>
      <c r="N8" s="74">
        <v>5</v>
      </c>
      <c r="O8" s="75">
        <f>+K8+M8</f>
        <v>1</v>
      </c>
      <c r="P8" s="76">
        <f>+N8+L8</f>
        <v>5</v>
      </c>
    </row>
    <row r="9" spans="1:16">
      <c r="A9" s="29" t="s">
        <v>325</v>
      </c>
      <c r="B9" s="33">
        <f>SUM(C9:F9)</f>
        <v>12</v>
      </c>
      <c r="C9" s="34">
        <v>3</v>
      </c>
      <c r="D9" s="34">
        <v>3</v>
      </c>
      <c r="E9" s="34">
        <v>3</v>
      </c>
      <c r="F9" s="33">
        <v>3</v>
      </c>
      <c r="G9" s="48">
        <v>2</v>
      </c>
      <c r="H9" s="48"/>
      <c r="I9" s="48"/>
      <c r="J9" s="48">
        <v>10</v>
      </c>
      <c r="K9" s="48">
        <f>SUM(G9:J9)</f>
        <v>12</v>
      </c>
      <c r="L9" s="48">
        <v>18</v>
      </c>
      <c r="M9" s="97">
        <v>0</v>
      </c>
      <c r="N9" s="74">
        <v>0</v>
      </c>
      <c r="O9" s="75">
        <f t="shared" ref="O9:O29" si="2">+K9+M9</f>
        <v>12</v>
      </c>
      <c r="P9" s="76">
        <f t="shared" ref="P9:P29" si="3">+N9+L9</f>
        <v>18</v>
      </c>
    </row>
    <row r="10" spans="1:16">
      <c r="A10" s="29" t="s">
        <v>397</v>
      </c>
      <c r="B10" s="33">
        <f>SUM(C10:F10)</f>
        <v>10</v>
      </c>
      <c r="C10" s="34">
        <v>2</v>
      </c>
      <c r="D10" s="34">
        <v>3</v>
      </c>
      <c r="E10" s="34">
        <v>3</v>
      </c>
      <c r="F10" s="33">
        <v>2</v>
      </c>
      <c r="G10" s="48"/>
      <c r="H10" s="48"/>
      <c r="I10" s="48">
        <v>1</v>
      </c>
      <c r="J10" s="48">
        <v>1</v>
      </c>
      <c r="K10" s="48">
        <f>SUM(G10:J10)</f>
        <v>2</v>
      </c>
      <c r="L10" s="48">
        <v>7</v>
      </c>
      <c r="M10" s="97">
        <v>8</v>
      </c>
      <c r="N10" s="74">
        <v>16</v>
      </c>
      <c r="O10" s="75">
        <f>+K10+M10</f>
        <v>10</v>
      </c>
      <c r="P10" s="76">
        <f>+N10+L10</f>
        <v>23</v>
      </c>
    </row>
    <row r="11" spans="1:16">
      <c r="A11" s="29" t="s">
        <v>398</v>
      </c>
      <c r="B11" s="33">
        <f>SUM(C11:F11)</f>
        <v>10</v>
      </c>
      <c r="C11" s="34">
        <v>2</v>
      </c>
      <c r="D11" s="34">
        <v>3</v>
      </c>
      <c r="E11" s="34">
        <v>3</v>
      </c>
      <c r="F11" s="33">
        <v>2</v>
      </c>
      <c r="G11" s="48">
        <v>5</v>
      </c>
      <c r="H11" s="48"/>
      <c r="I11" s="48">
        <v>2</v>
      </c>
      <c r="J11" s="48">
        <v>2</v>
      </c>
      <c r="K11" s="48">
        <f>SUM(G11:J11)</f>
        <v>9</v>
      </c>
      <c r="L11" s="48">
        <v>16</v>
      </c>
      <c r="M11" s="97">
        <v>2</v>
      </c>
      <c r="N11" s="74">
        <v>2</v>
      </c>
      <c r="O11" s="75">
        <f>+K11+M11</f>
        <v>11</v>
      </c>
      <c r="P11" s="76">
        <f>+N11+L11</f>
        <v>18</v>
      </c>
    </row>
    <row r="12" spans="1:16">
      <c r="A12" s="29" t="s">
        <v>372</v>
      </c>
      <c r="B12" s="33">
        <f>SUM(C12:F12)</f>
        <v>6</v>
      </c>
      <c r="C12" s="34">
        <v>2</v>
      </c>
      <c r="D12" s="34">
        <v>1</v>
      </c>
      <c r="E12" s="34">
        <v>2</v>
      </c>
      <c r="F12" s="33">
        <v>1</v>
      </c>
      <c r="G12" s="48">
        <v>2</v>
      </c>
      <c r="H12" s="48">
        <v>1</v>
      </c>
      <c r="I12" s="48">
        <v>3</v>
      </c>
      <c r="J12" s="48">
        <v>1</v>
      </c>
      <c r="K12" s="48">
        <f>SUM(G12:J12)</f>
        <v>7</v>
      </c>
      <c r="L12" s="48">
        <v>16.5</v>
      </c>
      <c r="M12" s="97">
        <v>0</v>
      </c>
      <c r="N12" s="74">
        <v>0</v>
      </c>
      <c r="O12" s="75">
        <f>+K12+M12</f>
        <v>7</v>
      </c>
      <c r="P12" s="76">
        <f>+N12+L12</f>
        <v>16.5</v>
      </c>
    </row>
    <row r="13" spans="1:16">
      <c r="A13" s="29" t="s">
        <v>305</v>
      </c>
      <c r="B13" s="33">
        <f>SUM(C13:F13)</f>
        <v>6</v>
      </c>
      <c r="C13" s="34">
        <v>1</v>
      </c>
      <c r="D13" s="34">
        <v>2</v>
      </c>
      <c r="E13" s="34">
        <v>2</v>
      </c>
      <c r="F13" s="33">
        <v>1</v>
      </c>
      <c r="G13" s="48"/>
      <c r="H13" s="48"/>
      <c r="I13" s="48"/>
      <c r="J13" s="48">
        <v>1</v>
      </c>
      <c r="K13" s="48">
        <f>SUM(G13:J13)</f>
        <v>1</v>
      </c>
      <c r="L13" s="48">
        <v>0.5</v>
      </c>
      <c r="M13" s="98">
        <v>2</v>
      </c>
      <c r="N13" s="74">
        <v>2</v>
      </c>
      <c r="O13" s="75">
        <f>+K13+M13</f>
        <v>3</v>
      </c>
      <c r="P13" s="76">
        <f>+N13+L13</f>
        <v>2.5</v>
      </c>
    </row>
    <row r="14" spans="1:16">
      <c r="A14" s="29" t="s">
        <v>373</v>
      </c>
      <c r="B14" s="33">
        <f>SUM(C14:F14)</f>
        <v>6</v>
      </c>
      <c r="C14" s="34">
        <v>1</v>
      </c>
      <c r="D14" s="34">
        <v>2</v>
      </c>
      <c r="E14" s="34">
        <v>2</v>
      </c>
      <c r="F14" s="33">
        <v>1</v>
      </c>
      <c r="G14" s="48">
        <v>1</v>
      </c>
      <c r="H14" s="48">
        <v>1</v>
      </c>
      <c r="I14" s="48">
        <v>2</v>
      </c>
      <c r="J14" s="48">
        <v>1</v>
      </c>
      <c r="K14" s="48">
        <f>SUM(G14:J14)</f>
        <v>5</v>
      </c>
      <c r="L14" s="48">
        <v>7.5</v>
      </c>
      <c r="M14" s="98">
        <v>2</v>
      </c>
      <c r="N14" s="74">
        <v>2.5</v>
      </c>
      <c r="O14" s="75">
        <f>+K14+M14</f>
        <v>7</v>
      </c>
      <c r="P14" s="76">
        <f>+N14+L14</f>
        <v>10</v>
      </c>
    </row>
    <row r="15" spans="1:16">
      <c r="A15" s="29" t="s">
        <v>263</v>
      </c>
      <c r="B15" s="33">
        <f>SUM(C15:F15)</f>
        <v>0</v>
      </c>
      <c r="C15" s="34">
        <v>0</v>
      </c>
      <c r="D15" s="34">
        <v>0</v>
      </c>
      <c r="E15" s="34">
        <v>0</v>
      </c>
      <c r="F15" s="33">
        <v>0</v>
      </c>
      <c r="G15" s="48">
        <v>1</v>
      </c>
      <c r="H15" s="48"/>
      <c r="I15" s="48">
        <v>1</v>
      </c>
      <c r="J15" s="48"/>
      <c r="K15" s="48">
        <f>SUM(G15:J15)</f>
        <v>2</v>
      </c>
      <c r="L15" s="48">
        <v>4</v>
      </c>
      <c r="M15" s="98">
        <v>1</v>
      </c>
      <c r="N15" s="74">
        <v>1</v>
      </c>
      <c r="O15" s="75">
        <f>+K15+M15</f>
        <v>3</v>
      </c>
      <c r="P15" s="76">
        <f>+N15+L15</f>
        <v>5</v>
      </c>
    </row>
    <row r="16" spans="1:16">
      <c r="A16" s="26" t="s">
        <v>374</v>
      </c>
      <c r="B16" s="33">
        <f>SUM(C16:F16)</f>
        <v>2</v>
      </c>
      <c r="C16" s="34">
        <v>0</v>
      </c>
      <c r="D16" s="34">
        <v>1</v>
      </c>
      <c r="E16" s="34">
        <v>1</v>
      </c>
      <c r="F16" s="34">
        <v>0</v>
      </c>
      <c r="G16" s="48"/>
      <c r="H16" s="48"/>
      <c r="I16" s="48"/>
      <c r="J16" s="48"/>
      <c r="K16" s="48">
        <f>SUM(G16:J16)</f>
        <v>0</v>
      </c>
      <c r="L16" s="48"/>
      <c r="M16" s="98"/>
      <c r="N16" s="74"/>
      <c r="O16" s="75">
        <f>+K16+M16</f>
        <v>0</v>
      </c>
      <c r="P16" s="76">
        <f>+N16+L16</f>
        <v>0</v>
      </c>
    </row>
    <row r="17" spans="1:16">
      <c r="A17" s="29" t="s">
        <v>375</v>
      </c>
      <c r="B17" s="33">
        <f>SUM(C17:F17)</f>
        <v>12</v>
      </c>
      <c r="C17" s="34">
        <v>3</v>
      </c>
      <c r="D17" s="34">
        <v>3</v>
      </c>
      <c r="E17" s="34">
        <v>3</v>
      </c>
      <c r="F17" s="34">
        <v>3</v>
      </c>
      <c r="G17" s="48">
        <v>1</v>
      </c>
      <c r="H17" s="48"/>
      <c r="I17" s="48">
        <v>5</v>
      </c>
      <c r="J17" s="48">
        <v>7</v>
      </c>
      <c r="K17" s="48">
        <f>SUM(G17:J17)</f>
        <v>13</v>
      </c>
      <c r="L17" s="48">
        <v>48</v>
      </c>
      <c r="M17" s="98">
        <v>2</v>
      </c>
      <c r="N17" s="74">
        <v>8</v>
      </c>
      <c r="O17" s="75">
        <f>+K17+M17</f>
        <v>15</v>
      </c>
      <c r="P17" s="76">
        <f>+N17+L17</f>
        <v>56</v>
      </c>
    </row>
    <row r="18" spans="1:16">
      <c r="A18" s="29" t="s">
        <v>350</v>
      </c>
      <c r="B18" s="33">
        <f>SUM(C18:F18)</f>
        <v>6</v>
      </c>
      <c r="C18" s="34">
        <v>0</v>
      </c>
      <c r="D18" s="34">
        <v>2</v>
      </c>
      <c r="E18" s="34">
        <v>2</v>
      </c>
      <c r="F18" s="34">
        <v>2</v>
      </c>
      <c r="G18" s="48"/>
      <c r="H18" s="48">
        <v>1</v>
      </c>
      <c r="I18" s="48">
        <v>2</v>
      </c>
      <c r="J18" s="48">
        <v>3</v>
      </c>
      <c r="K18" s="48">
        <f>SUM(G18:J18)</f>
        <v>6</v>
      </c>
      <c r="L18" s="48">
        <v>16</v>
      </c>
      <c r="M18" s="98"/>
      <c r="N18" s="74"/>
      <c r="O18" s="75">
        <f>+K18+M18</f>
        <v>6</v>
      </c>
      <c r="P18" s="76">
        <f>+N18+L18</f>
        <v>16</v>
      </c>
    </row>
    <row r="19" spans="1:16">
      <c r="A19" s="29" t="s">
        <v>376</v>
      </c>
      <c r="B19" s="33">
        <f t="shared" ref="B19:B26" si="4">SUM(C19:F19)</f>
        <v>6</v>
      </c>
      <c r="C19" s="34">
        <v>1</v>
      </c>
      <c r="D19" s="34">
        <v>2</v>
      </c>
      <c r="E19" s="34">
        <v>2</v>
      </c>
      <c r="F19" s="34">
        <v>1</v>
      </c>
      <c r="G19" s="48"/>
      <c r="H19" s="48">
        <v>1</v>
      </c>
      <c r="I19" s="48">
        <v>3</v>
      </c>
      <c r="J19" s="48"/>
      <c r="K19" s="48">
        <f>SUM(G19:J19)</f>
        <v>4</v>
      </c>
      <c r="L19" s="48">
        <v>5</v>
      </c>
      <c r="M19" s="98"/>
      <c r="N19" s="74"/>
      <c r="O19" s="75">
        <f>+K19+M19</f>
        <v>4</v>
      </c>
      <c r="P19" s="76">
        <f>+N19+L19</f>
        <v>5</v>
      </c>
    </row>
    <row r="20" spans="1:16">
      <c r="A20" s="29" t="s">
        <v>377</v>
      </c>
      <c r="B20" s="33">
        <f>SUM(C20:F20)</f>
        <v>6</v>
      </c>
      <c r="C20" s="34">
        <v>2</v>
      </c>
      <c r="D20" s="34">
        <v>1</v>
      </c>
      <c r="E20" s="34">
        <v>2</v>
      </c>
      <c r="F20" s="34">
        <v>1</v>
      </c>
      <c r="G20" s="48"/>
      <c r="H20" s="48">
        <v>1</v>
      </c>
      <c r="I20" s="48"/>
      <c r="J20" s="48"/>
      <c r="K20" s="48">
        <f>SUM(G20:J20)</f>
        <v>1</v>
      </c>
      <c r="L20" s="48">
        <v>1</v>
      </c>
      <c r="M20" s="98"/>
      <c r="N20" s="74"/>
      <c r="O20" s="75">
        <f>+K20+M20</f>
        <v>1</v>
      </c>
      <c r="P20" s="76">
        <f>+N20+L20</f>
        <v>1</v>
      </c>
    </row>
    <row r="21" spans="1:16">
      <c r="A21" s="30" t="s">
        <v>378</v>
      </c>
      <c r="B21" s="33">
        <f>SUM(C21:F21)</f>
        <v>2</v>
      </c>
      <c r="C21" s="34">
        <v>0</v>
      </c>
      <c r="D21" s="34">
        <v>1</v>
      </c>
      <c r="E21" s="34">
        <v>1</v>
      </c>
      <c r="F21" s="34">
        <v>0</v>
      </c>
      <c r="G21" s="48"/>
      <c r="H21" s="48"/>
      <c r="I21" s="48"/>
      <c r="J21" s="48"/>
      <c r="K21" s="48">
        <f>SUM(G21:J21)</f>
        <v>0</v>
      </c>
      <c r="L21" s="48"/>
      <c r="M21" s="98"/>
      <c r="N21" s="74"/>
      <c r="O21" s="75">
        <f>+K21+M21</f>
        <v>0</v>
      </c>
      <c r="P21" s="76">
        <f>+N21+L21</f>
        <v>0</v>
      </c>
    </row>
    <row r="22" spans="1:16">
      <c r="A22" s="31" t="s">
        <v>379</v>
      </c>
      <c r="B22" s="33">
        <f>SUM(C22:F22)</f>
        <v>12</v>
      </c>
      <c r="C22" s="34">
        <v>3</v>
      </c>
      <c r="D22" s="34">
        <v>3</v>
      </c>
      <c r="E22" s="34">
        <v>3</v>
      </c>
      <c r="F22" s="34">
        <v>3</v>
      </c>
      <c r="G22" s="48">
        <v>1</v>
      </c>
      <c r="H22" s="48"/>
      <c r="I22" s="48">
        <v>9</v>
      </c>
      <c r="J22" s="48">
        <v>6</v>
      </c>
      <c r="K22" s="48">
        <f>SUM(G22:J22)</f>
        <v>16</v>
      </c>
      <c r="L22" s="48">
        <v>29</v>
      </c>
      <c r="M22" s="98">
        <v>1</v>
      </c>
      <c r="N22" s="74">
        <v>2</v>
      </c>
      <c r="O22" s="75">
        <f>+K22+M22</f>
        <v>17</v>
      </c>
      <c r="P22" s="76">
        <f>+N22+L22</f>
        <v>31</v>
      </c>
    </row>
    <row r="23" spans="1:16">
      <c r="A23" s="31" t="s">
        <v>304</v>
      </c>
      <c r="B23" s="33">
        <f>SUM(C23:F23)</f>
        <v>6</v>
      </c>
      <c r="C23" s="34">
        <v>1</v>
      </c>
      <c r="D23" s="34">
        <v>2</v>
      </c>
      <c r="E23" s="34">
        <v>2</v>
      </c>
      <c r="F23" s="34">
        <v>1</v>
      </c>
      <c r="G23" s="48"/>
      <c r="H23" s="48"/>
      <c r="I23" s="48">
        <v>1</v>
      </c>
      <c r="J23" s="48"/>
      <c r="K23" s="48">
        <f>SUM(G23:J23)</f>
        <v>1</v>
      </c>
      <c r="L23" s="48">
        <v>0.5</v>
      </c>
      <c r="M23" s="98"/>
      <c r="N23" s="74"/>
      <c r="O23" s="75">
        <f>+K23+M23</f>
        <v>1</v>
      </c>
      <c r="P23" s="76">
        <f>+N23+L23</f>
        <v>0.5</v>
      </c>
    </row>
    <row r="24" spans="1:16">
      <c r="A24" s="31" t="s">
        <v>303</v>
      </c>
      <c r="B24" s="33">
        <f>SUM(C24:F24)</f>
        <v>6</v>
      </c>
      <c r="C24" s="34">
        <v>1</v>
      </c>
      <c r="D24" s="34">
        <v>2</v>
      </c>
      <c r="E24" s="34">
        <v>2</v>
      </c>
      <c r="F24" s="34">
        <v>1</v>
      </c>
      <c r="G24" s="48">
        <v>1</v>
      </c>
      <c r="H24" s="48"/>
      <c r="I24" s="48"/>
      <c r="J24" s="48"/>
      <c r="K24" s="48">
        <f>SUM(G24:J24)</f>
        <v>1</v>
      </c>
      <c r="L24" s="48">
        <v>2</v>
      </c>
      <c r="M24" s="98"/>
      <c r="N24" s="74"/>
      <c r="O24" s="75">
        <f>+K24+M24</f>
        <v>1</v>
      </c>
      <c r="P24" s="76">
        <f>+N24+L24</f>
        <v>2</v>
      </c>
    </row>
    <row r="25" spans="1:16">
      <c r="A25" s="31" t="s">
        <v>380</v>
      </c>
      <c r="B25" s="33">
        <f>SUM(C25:F25)</f>
        <v>6</v>
      </c>
      <c r="C25" s="34">
        <v>1</v>
      </c>
      <c r="D25" s="34">
        <v>2</v>
      </c>
      <c r="E25" s="34">
        <v>2</v>
      </c>
      <c r="F25" s="34">
        <v>1</v>
      </c>
      <c r="G25" s="48">
        <v>2</v>
      </c>
      <c r="H25" s="48"/>
      <c r="I25" s="48">
        <v>3</v>
      </c>
      <c r="J25" s="48">
        <v>3</v>
      </c>
      <c r="K25" s="48">
        <f>SUM(G25:J25)</f>
        <v>8</v>
      </c>
      <c r="L25" s="48">
        <v>6.5</v>
      </c>
      <c r="M25" s="98">
        <v>6</v>
      </c>
      <c r="N25" s="74">
        <v>5.5</v>
      </c>
      <c r="O25" s="75">
        <f>+K25+M25</f>
        <v>14</v>
      </c>
      <c r="P25" s="76">
        <f>+N25+L25</f>
        <v>12</v>
      </c>
    </row>
    <row r="26" spans="1:16">
      <c r="A26" s="31" t="s">
        <v>381</v>
      </c>
      <c r="B26" s="33">
        <f>SUM(C26:F26)</f>
        <v>0</v>
      </c>
      <c r="C26" s="34">
        <v>0</v>
      </c>
      <c r="D26" s="34">
        <v>0</v>
      </c>
      <c r="E26" s="34">
        <v>0</v>
      </c>
      <c r="F26" s="34">
        <v>0</v>
      </c>
      <c r="G26" s="48"/>
      <c r="H26" s="48"/>
      <c r="I26" s="48"/>
      <c r="J26" s="48"/>
      <c r="K26" s="48">
        <f>SUM(G26:J26)</f>
        <v>0</v>
      </c>
      <c r="L26" s="48"/>
      <c r="M26" s="98"/>
      <c r="N26" s="74"/>
      <c r="O26" s="75">
        <f>+K26+M26</f>
        <v>0</v>
      </c>
      <c r="P26" s="76">
        <f>+N26+L26</f>
        <v>0</v>
      </c>
    </row>
    <row r="27" spans="1:16">
      <c r="A27" s="32" t="s">
        <v>268</v>
      </c>
      <c r="B27" s="33">
        <f>SUM(C27:F27)</f>
        <v>4</v>
      </c>
      <c r="C27" s="34">
        <v>1</v>
      </c>
      <c r="D27" s="34">
        <v>1</v>
      </c>
      <c r="E27" s="34">
        <v>1</v>
      </c>
      <c r="F27" s="34">
        <v>1</v>
      </c>
      <c r="G27" s="34"/>
      <c r="H27" s="35"/>
      <c r="I27" s="35">
        <v>4</v>
      </c>
      <c r="J27" s="35"/>
      <c r="K27" s="48">
        <f>SUM(G27:J27)</f>
        <v>4</v>
      </c>
      <c r="L27" s="48">
        <v>14</v>
      </c>
      <c r="M27" s="73">
        <v>1</v>
      </c>
      <c r="N27" s="74">
        <v>5</v>
      </c>
      <c r="O27" s="75">
        <f>+K27+M27</f>
        <v>5</v>
      </c>
      <c r="P27" s="76">
        <f>+N27+L27</f>
        <v>19</v>
      </c>
    </row>
    <row r="28" spans="1:16">
      <c r="A28" s="36" t="s">
        <v>269</v>
      </c>
      <c r="B28" s="33">
        <f>SUM(C28:F28)</f>
        <v>5</v>
      </c>
      <c r="C28" s="37">
        <v>1</v>
      </c>
      <c r="D28" s="37">
        <v>1</v>
      </c>
      <c r="E28" s="34">
        <v>1</v>
      </c>
      <c r="F28" s="37">
        <v>2</v>
      </c>
      <c r="G28" s="38">
        <v>1</v>
      </c>
      <c r="H28" s="39">
        <v>4</v>
      </c>
      <c r="I28" s="39">
        <v>7</v>
      </c>
      <c r="J28" s="39">
        <v>6</v>
      </c>
      <c r="K28" s="48">
        <f>SUM(G28:J28)</f>
        <v>18</v>
      </c>
      <c r="L28" s="48">
        <v>79</v>
      </c>
      <c r="M28" s="77">
        <v>4</v>
      </c>
      <c r="N28" s="74">
        <v>57</v>
      </c>
      <c r="O28" s="75">
        <f>+K28+M28</f>
        <v>22</v>
      </c>
      <c r="P28" s="76">
        <f>+N28+L28</f>
        <v>136</v>
      </c>
    </row>
    <row r="29" spans="1:16">
      <c r="A29" s="40" t="s">
        <v>161</v>
      </c>
      <c r="B29" s="33">
        <f>SUM(C29:F29)</f>
        <v>125</v>
      </c>
      <c r="C29" s="41">
        <f t="shared" ref="C29:J29" si="5">SUM(C8:C28)</f>
        <v>25</v>
      </c>
      <c r="D29" s="41">
        <f>SUM(D8:D28)</f>
        <v>36</v>
      </c>
      <c r="E29" s="34">
        <f>SUM(E8:E28)</f>
        <v>38</v>
      </c>
      <c r="F29" s="41">
        <f>SUM(F8:F28)</f>
        <v>26</v>
      </c>
      <c r="G29" s="41">
        <f>SUM(G8:G28)</f>
        <v>17</v>
      </c>
      <c r="H29" s="41">
        <f>SUM(H8:H28)</f>
        <v>9</v>
      </c>
      <c r="I29" s="41">
        <f>SUM(I8:I28)</f>
        <v>43</v>
      </c>
      <c r="J29" s="41">
        <f>SUM(J8:J28)</f>
        <v>41</v>
      </c>
      <c r="K29" s="78">
        <f>SUM(G29:J29)</f>
        <v>110</v>
      </c>
      <c r="L29" s="78">
        <f t="shared" ref="L29:N29" si="6">SUM(L8:L28)</f>
        <v>270.5</v>
      </c>
      <c r="M29" s="79">
        <f>SUM(M8:M28)</f>
        <v>30</v>
      </c>
      <c r="N29" s="80">
        <f>SUM(N8:N28)</f>
        <v>106</v>
      </c>
      <c r="O29" s="81">
        <f>+K29+M29</f>
        <v>140</v>
      </c>
      <c r="P29" s="82">
        <f>+N29+L29</f>
        <v>376.5</v>
      </c>
    </row>
    <row r="30" spans="1:16">
      <c r="A30" s="42" t="s">
        <v>40</v>
      </c>
      <c r="B30" s="43"/>
      <c r="C30" s="44" t="s">
        <v>14</v>
      </c>
      <c r="D30" s="45"/>
      <c r="E30" s="45"/>
      <c r="F30" s="46"/>
      <c r="G30" s="44"/>
      <c r="H30" s="45"/>
      <c r="I30" s="45"/>
      <c r="J30" s="46"/>
      <c r="K30" s="83"/>
      <c r="L30" s="84"/>
      <c r="M30" s="85"/>
      <c r="N30" s="86"/>
      <c r="O30" s="87"/>
      <c r="P30" s="88"/>
    </row>
    <row r="31" ht="25.5" spans="1:15">
      <c r="A31" s="47" t="s">
        <v>16</v>
      </c>
      <c r="B31" s="47" t="s">
        <v>17</v>
      </c>
      <c r="C31" s="47" t="s">
        <v>18</v>
      </c>
      <c r="D31" s="47" t="s">
        <v>19</v>
      </c>
      <c r="E31" s="47" t="s">
        <v>20</v>
      </c>
      <c r="F31" s="47" t="s">
        <v>21</v>
      </c>
      <c r="G31" s="47" t="s">
        <v>18</v>
      </c>
      <c r="H31" s="47" t="s">
        <v>399</v>
      </c>
      <c r="I31" s="47" t="s">
        <v>20</v>
      </c>
      <c r="J31" s="47" t="s">
        <v>21</v>
      </c>
      <c r="K31" s="47" t="s">
        <v>22</v>
      </c>
      <c r="L31" s="47" t="s">
        <v>41</v>
      </c>
      <c r="M31" s="47" t="s">
        <v>42</v>
      </c>
      <c r="N31" s="89"/>
      <c r="O31" s="90"/>
    </row>
    <row r="32" spans="1:15">
      <c r="A32" s="29" t="s">
        <v>265</v>
      </c>
      <c r="B32" s="48">
        <f>SUM(C32:F32)</f>
        <v>12.5</v>
      </c>
      <c r="C32" s="35">
        <v>3</v>
      </c>
      <c r="D32" s="34">
        <v>3</v>
      </c>
      <c r="E32" s="34">
        <v>3</v>
      </c>
      <c r="F32" s="34">
        <v>3.5</v>
      </c>
      <c r="G32" s="49">
        <f>+(12400+12600+38800+50750+39500)/100000</f>
        <v>1.5405</v>
      </c>
      <c r="H32" s="50">
        <f>+(46000+80750+44770+27600+35650+36050)/100000</f>
        <v>2.7082</v>
      </c>
      <c r="I32" s="50">
        <f>+(59500+124020+66250+75300+136500+38780)/100000</f>
        <v>5.0035</v>
      </c>
      <c r="J32" s="76">
        <f>+(67480+30300+93180+39020+15610+38260)/100000</f>
        <v>2.8385</v>
      </c>
      <c r="K32" s="76">
        <f>SUM(G32:J32)</f>
        <v>12.0907</v>
      </c>
      <c r="L32" s="50">
        <f>+((C32+D32+E32+F32)-(G32+H32+I32+J32))*-1</f>
        <v>-0.4093</v>
      </c>
      <c r="M32" s="91">
        <f>+K32/B32</f>
        <v>0.967256</v>
      </c>
      <c r="N32" s="89"/>
      <c r="O32" s="90"/>
    </row>
    <row r="33" spans="1:15">
      <c r="A33" s="29" t="s">
        <v>222</v>
      </c>
      <c r="B33" s="48">
        <f t="shared" ref="B33:B39" si="7">SUM(C33:F33)</f>
        <v>10.5</v>
      </c>
      <c r="C33" s="35">
        <v>2.5</v>
      </c>
      <c r="D33" s="34">
        <v>2.5</v>
      </c>
      <c r="E33" s="34">
        <v>2.5</v>
      </c>
      <c r="F33" s="34">
        <v>3</v>
      </c>
      <c r="G33" s="49">
        <f>+(39300+27490+14600+19800+7000+5000)/100000</f>
        <v>1.1319</v>
      </c>
      <c r="H33" s="50">
        <f>+(13500+58600+16600+56790+22590+6200)/100000</f>
        <v>1.7428</v>
      </c>
      <c r="I33" s="50">
        <f>+(40430+79180+40200+22570+21100+9700)/100000</f>
        <v>2.1318</v>
      </c>
      <c r="J33" s="50">
        <f>+(38250+20200+20100+35084+6800+9600)/100000</f>
        <v>1.30034</v>
      </c>
      <c r="K33" s="76">
        <f t="shared" ref="K33:K47" si="8">SUM(G33:J33)</f>
        <v>6.30684</v>
      </c>
      <c r="L33" s="50">
        <f t="shared" ref="L33:L47" si="9">+((C33+D33+E33+F33)-(G33+H33+I33+J33))*-1</f>
        <v>-4.19316</v>
      </c>
      <c r="M33" s="91">
        <f t="shared" ref="M33:M47" si="10">+K33/B33</f>
        <v>0.600651428571429</v>
      </c>
      <c r="N33" s="89"/>
      <c r="O33" s="90"/>
    </row>
    <row r="34" spans="1:15">
      <c r="A34" s="29" t="s">
        <v>266</v>
      </c>
      <c r="B34" s="48">
        <f>SUM(C34:F34)</f>
        <v>11.5</v>
      </c>
      <c r="C34" s="35">
        <v>3.5</v>
      </c>
      <c r="D34" s="34">
        <v>3</v>
      </c>
      <c r="E34" s="34">
        <v>2.5</v>
      </c>
      <c r="F34" s="34">
        <v>2.5</v>
      </c>
      <c r="G34" s="49">
        <f>+(19250+54860+10120+14250+16550+264200)/100000</f>
        <v>3.7923</v>
      </c>
      <c r="H34" s="50">
        <f>+(24000+232050+10800+17700+34500+11500)/100000</f>
        <v>3.3055</v>
      </c>
      <c r="I34" s="50">
        <f>+(16600+24890+13500+11800+33300+24014)/100000</f>
        <v>1.24104</v>
      </c>
      <c r="J34" s="50">
        <f>+(74500+34300+13500+8800+13500+11100)/100000</f>
        <v>1.557</v>
      </c>
      <c r="K34" s="76">
        <f>SUM(G34:J34)</f>
        <v>9.89584</v>
      </c>
      <c r="L34" s="50">
        <f>+((C34+D34+E34+F34)-(G34+H34+I34+J34))*-1</f>
        <v>-1.60416</v>
      </c>
      <c r="M34" s="91">
        <f>+K34/B34</f>
        <v>0.860507826086957</v>
      </c>
      <c r="N34" s="92"/>
      <c r="O34" s="93"/>
    </row>
    <row r="35" spans="1:15">
      <c r="A35" s="29" t="s">
        <v>209</v>
      </c>
      <c r="B35" s="48">
        <f>SUM(C35:F35)</f>
        <v>14</v>
      </c>
      <c r="C35" s="34">
        <v>3.5</v>
      </c>
      <c r="D35" s="34">
        <v>3.5</v>
      </c>
      <c r="E35" s="34">
        <v>3</v>
      </c>
      <c r="F35" s="34">
        <v>4</v>
      </c>
      <c r="G35" s="49">
        <f>+(27000+18600+41900+44000+19300+29300)/100000</f>
        <v>1.801</v>
      </c>
      <c r="H35" s="50">
        <f>+(56000+63400+27900+26400+67600+20200)/100000</f>
        <v>2.615</v>
      </c>
      <c r="I35" s="50">
        <f>+(60700+28200+33300+29600+43200+28000)/100000</f>
        <v>2.23</v>
      </c>
      <c r="J35" s="50">
        <f>+(33500+62200+64000+40704+16200+49900)/100000</f>
        <v>2.66504</v>
      </c>
      <c r="K35" s="76">
        <f>SUM(G35:J35)</f>
        <v>9.31104</v>
      </c>
      <c r="L35" s="50">
        <f>+((C35+D35+E35+F35)-(G35+H35+I35+J35))*-1</f>
        <v>-4.68896</v>
      </c>
      <c r="M35" s="91">
        <f>+K35/B35</f>
        <v>0.665074285714286</v>
      </c>
      <c r="N35" s="92"/>
      <c r="O35" s="93"/>
    </row>
    <row r="36" spans="1:15">
      <c r="A36" s="51" t="s">
        <v>293</v>
      </c>
      <c r="B36" s="48">
        <f t="shared" ref="B36:B37" si="11">SUM(C36:F36)</f>
        <v>18.75</v>
      </c>
      <c r="C36" s="35">
        <v>4.5</v>
      </c>
      <c r="D36" s="34">
        <v>4.5</v>
      </c>
      <c r="E36" s="34">
        <v>5</v>
      </c>
      <c r="F36" s="34">
        <v>4.75</v>
      </c>
      <c r="G36" s="49">
        <f>+(25500+101200+42000+84700+44100+29500)/100000</f>
        <v>3.27</v>
      </c>
      <c r="H36" s="50">
        <f>+(100000+41600+44590+40300+7100+76300)/100000</f>
        <v>3.0989</v>
      </c>
      <c r="I36" s="50">
        <f>+(88400+81400+47600+65600+78400+38200)/100000</f>
        <v>3.996</v>
      </c>
      <c r="J36" s="50">
        <f>+(92280+21500+261742+58700+54950+80372)/100000</f>
        <v>5.69544</v>
      </c>
      <c r="K36" s="76">
        <f t="shared" ref="K36:K37" si="12">SUM(G36:J36)</f>
        <v>16.06034</v>
      </c>
      <c r="L36" s="50">
        <f>+((C36+D36+E36+F36)-(G36+H36+I36+J36))*-1</f>
        <v>-2.68966</v>
      </c>
      <c r="M36" s="91">
        <f>+K36/B36</f>
        <v>0.856551466666667</v>
      </c>
      <c r="N36" s="92"/>
      <c r="O36" s="93"/>
    </row>
    <row r="37" spans="1:15">
      <c r="A37" s="51" t="s">
        <v>261</v>
      </c>
      <c r="B37" s="48">
        <f>SUM(C37:F37)</f>
        <v>12.5</v>
      </c>
      <c r="C37" s="35">
        <v>3</v>
      </c>
      <c r="D37" s="34">
        <v>3</v>
      </c>
      <c r="E37" s="34">
        <v>3</v>
      </c>
      <c r="F37" s="34">
        <v>3.5</v>
      </c>
      <c r="G37" s="49">
        <f>+(87500+28300+45850+23800+55300+59000)/100000</f>
        <v>2.9975</v>
      </c>
      <c r="H37" s="50">
        <f>+(66400+52600+48100+5500+64250)/100000</f>
        <v>2.3685</v>
      </c>
      <c r="I37" s="50">
        <f>+(111100+95970+17200+84750+41450+39150)/100000</f>
        <v>3.8962</v>
      </c>
      <c r="J37" s="50">
        <f>+(89850+42250+35000+26350+34850+71372)/100000</f>
        <v>2.99672</v>
      </c>
      <c r="K37" s="76">
        <f>SUM(G37:J37)</f>
        <v>12.25892</v>
      </c>
      <c r="L37" s="50">
        <f>+((C37+D37+E37+F37)-(G37+H37+I37+J37))*-1</f>
        <v>-0.24108</v>
      </c>
      <c r="M37" s="91">
        <f>+K37/B37</f>
        <v>0.9807136</v>
      </c>
      <c r="N37" s="92"/>
      <c r="O37" s="93"/>
    </row>
    <row r="38" spans="1:15">
      <c r="A38" s="51" t="s">
        <v>263</v>
      </c>
      <c r="B38" s="48">
        <f>SUM(C38:F38)</f>
        <v>9</v>
      </c>
      <c r="C38" s="35">
        <v>2</v>
      </c>
      <c r="D38" s="52">
        <v>2</v>
      </c>
      <c r="E38" s="52">
        <v>2</v>
      </c>
      <c r="F38" s="52">
        <v>3</v>
      </c>
      <c r="G38" s="49">
        <f>+(28210+73900+34000+45000+11600+36500)/100000</f>
        <v>2.2921</v>
      </c>
      <c r="H38" s="50">
        <f>+(37050+45600+36400+29100+37000+34700)/100000</f>
        <v>2.1985</v>
      </c>
      <c r="I38" s="50">
        <f>+(38100+46500+53800+22940+54100+35460)/100000</f>
        <v>2.509</v>
      </c>
      <c r="J38" s="50">
        <f>+(92000+37300+45300+18950+13680+34200)/100000</f>
        <v>2.4143</v>
      </c>
      <c r="K38" s="76">
        <f>SUM(G38:J38)</f>
        <v>9.4139</v>
      </c>
      <c r="L38" s="50">
        <f>+((C38+D38+E38+F38)-(G38+H38+I38+J38))*-1</f>
        <v>0.413900000000002</v>
      </c>
      <c r="M38" s="91">
        <f>+K38/B38</f>
        <v>1.04598888888889</v>
      </c>
      <c r="N38" s="94"/>
      <c r="O38" s="95"/>
    </row>
    <row r="39" spans="1:15">
      <c r="A39" s="51" t="s">
        <v>271</v>
      </c>
      <c r="B39" s="48">
        <f>SUM(C39:F39)</f>
        <v>10.5</v>
      </c>
      <c r="C39" s="35">
        <v>3</v>
      </c>
      <c r="D39" s="52">
        <v>2</v>
      </c>
      <c r="E39" s="52">
        <v>2.5</v>
      </c>
      <c r="F39" s="52">
        <v>3</v>
      </c>
      <c r="G39" s="49">
        <f>+(5050+16300+68000+7300+1525)/100000</f>
        <v>0.98175</v>
      </c>
      <c r="H39" s="50">
        <f>+(17020+12650+12125+14450+8000+39100)/100000</f>
        <v>1.03345</v>
      </c>
      <c r="I39" s="50">
        <f>+(8800+6850+22500+7850+31925+5300)/100000</f>
        <v>0.83225</v>
      </c>
      <c r="J39" s="50">
        <f>+(14100+20400+105930+6750)/100000</f>
        <v>1.4718</v>
      </c>
      <c r="K39" s="76">
        <f>SUM(G39:J39)</f>
        <v>4.31925</v>
      </c>
      <c r="L39" s="50">
        <f>+((C39+D39+E39+F39)-(G39+H39+I39+J39))*-1</f>
        <v>-6.18075</v>
      </c>
      <c r="M39" s="91">
        <f>+K39/B39</f>
        <v>0.411357142857143</v>
      </c>
      <c r="N39" s="92"/>
      <c r="O39" s="93"/>
    </row>
    <row r="40" spans="1:15">
      <c r="A40" s="51" t="s">
        <v>262</v>
      </c>
      <c r="B40" s="48">
        <f t="shared" ref="B40:B47" si="13">SUM(C40:F40)</f>
        <v>15.5</v>
      </c>
      <c r="C40" s="35">
        <v>3.5</v>
      </c>
      <c r="D40" s="52">
        <v>4</v>
      </c>
      <c r="E40" s="52">
        <v>4</v>
      </c>
      <c r="F40" s="52">
        <v>4</v>
      </c>
      <c r="G40" s="49">
        <f>+(39600+32900+32950+59700+78900+31200)/100000</f>
        <v>2.7525</v>
      </c>
      <c r="H40" s="50">
        <f>+(65600+40600+63500+20000+38000)/100000</f>
        <v>2.277</v>
      </c>
      <c r="I40" s="50">
        <f>+(57085+76750+66460+36800+65420+32600)/100000</f>
        <v>3.35115</v>
      </c>
      <c r="J40" s="50">
        <f>+(80500+19200+45740+66000+16600+57400)/100000</f>
        <v>2.8544</v>
      </c>
      <c r="K40" s="76">
        <f>SUM(G40:J40)</f>
        <v>11.23505</v>
      </c>
      <c r="L40" s="50">
        <f>+((C40+D40+E40+F40)-(G40+H40+I40+J40))*-1</f>
        <v>-4.26495</v>
      </c>
      <c r="M40" s="91">
        <f>+K40/B40</f>
        <v>0.724841935483871</v>
      </c>
      <c r="N40" s="92"/>
      <c r="O40" s="93"/>
    </row>
    <row r="41" spans="1:15">
      <c r="A41" s="51" t="s">
        <v>382</v>
      </c>
      <c r="B41" s="48">
        <f>SUM(C41:F41)</f>
        <v>9</v>
      </c>
      <c r="C41" s="35">
        <v>2.5</v>
      </c>
      <c r="D41" s="52">
        <v>2</v>
      </c>
      <c r="E41" s="52">
        <v>2</v>
      </c>
      <c r="F41" s="52">
        <v>2.5</v>
      </c>
      <c r="G41" s="49">
        <f>+(40400+25400+20700+21700+30600+27300)/100000</f>
        <v>1.661</v>
      </c>
      <c r="H41" s="50">
        <f>+(18900+39000+23500+16500+400+32528)/100000</f>
        <v>1.30828</v>
      </c>
      <c r="I41" s="50">
        <f>+(14800+33600+24300+29600+57100+20800)/100000</f>
        <v>1.802</v>
      </c>
      <c r="J41" s="50">
        <f>+(43000+48766+48100+28000+17600+32540)/100000</f>
        <v>2.18006</v>
      </c>
      <c r="K41" s="76">
        <f>SUM(G41:J41)</f>
        <v>6.95134</v>
      </c>
      <c r="L41" s="50">
        <f>+((C41+D41+E41+F41)-(G41+H41+I41+J41))*-1</f>
        <v>-2.04866</v>
      </c>
      <c r="M41" s="91">
        <f>+K41/B41</f>
        <v>0.772371111111111</v>
      </c>
      <c r="N41" s="92"/>
      <c r="O41" s="93"/>
    </row>
    <row r="42" spans="1:15">
      <c r="A42" s="51" t="s">
        <v>362</v>
      </c>
      <c r="B42" s="48">
        <f>SUM(C42:F42)</f>
        <v>4</v>
      </c>
      <c r="C42" s="35">
        <v>1.5</v>
      </c>
      <c r="D42" s="52">
        <v>1</v>
      </c>
      <c r="E42" s="52">
        <v>0.5</v>
      </c>
      <c r="F42" s="52">
        <v>1</v>
      </c>
      <c r="G42" s="49">
        <f>+(26600+110500)/100000</f>
        <v>1.371</v>
      </c>
      <c r="H42" s="50">
        <f>+(9700+22550+22300+700)/100000</f>
        <v>0.5525</v>
      </c>
      <c r="I42" s="50">
        <f>+(4600+56000)/100000</f>
        <v>0.606</v>
      </c>
      <c r="J42" s="50">
        <f>+(189700+86600)/100000</f>
        <v>2.763</v>
      </c>
      <c r="K42" s="76">
        <f>SUM(G42:J42)</f>
        <v>5.2925</v>
      </c>
      <c r="L42" s="50">
        <f>+((C42+D42+E42+F42)-(G42+H42+I42+J42))*-1</f>
        <v>1.2925</v>
      </c>
      <c r="M42" s="91">
        <f>+K42/B42</f>
        <v>1.323125</v>
      </c>
      <c r="N42" s="92"/>
      <c r="O42" s="93"/>
    </row>
    <row r="43" spans="1:15">
      <c r="A43" s="51" t="s">
        <v>383</v>
      </c>
      <c r="B43" s="48">
        <f>SUM(C43:F43)</f>
        <v>4.5</v>
      </c>
      <c r="C43" s="35">
        <v>1</v>
      </c>
      <c r="D43" s="52">
        <v>1</v>
      </c>
      <c r="E43" s="52">
        <v>1</v>
      </c>
      <c r="F43" s="52">
        <v>1.5</v>
      </c>
      <c r="G43" s="49">
        <f>+(13400+19500+15700+13500+11110+15500)/100000</f>
        <v>0.8871</v>
      </c>
      <c r="H43" s="50">
        <f>+(29000+20900+16600+18500+36400)/100000</f>
        <v>1.214</v>
      </c>
      <c r="I43" s="50">
        <f>+(28600+17000+20100+11300+51600+11800)/100000</f>
        <v>1.404</v>
      </c>
      <c r="J43" s="50">
        <f>+(6300+8300+10500+13300+14500+32700)/100000</f>
        <v>0.856</v>
      </c>
      <c r="K43" s="76">
        <f>SUM(G43:J43)</f>
        <v>4.3611</v>
      </c>
      <c r="L43" s="50">
        <f>+((C43+D43+E43+F43)-(G43+H43+I43+J43))*-1</f>
        <v>-0.1389</v>
      </c>
      <c r="M43" s="91">
        <f>+K43/B43</f>
        <v>0.969133333333333</v>
      </c>
      <c r="N43" s="92"/>
      <c r="O43" s="93"/>
    </row>
    <row r="44" spans="1:15">
      <c r="A44" s="53" t="s">
        <v>351</v>
      </c>
      <c r="B44" s="48">
        <f>SUM(C44:F44)</f>
        <v>9</v>
      </c>
      <c r="C44" s="35">
        <v>2</v>
      </c>
      <c r="D44" s="52">
        <v>2</v>
      </c>
      <c r="E44" s="52">
        <v>2.5</v>
      </c>
      <c r="F44" s="52">
        <v>2.5</v>
      </c>
      <c r="G44" s="49">
        <f>+(3000+6000+2400+4600+4700+2500)/100000</f>
        <v>0.232</v>
      </c>
      <c r="H44" s="50">
        <f>+(20200+18600+19100+2600+35230+10500)/100000</f>
        <v>1.0623</v>
      </c>
      <c r="I44" s="50">
        <f>+(66400+3700+4300+56250+11100)/100000</f>
        <v>1.4175</v>
      </c>
      <c r="J44" s="50">
        <f>+(296200+5800+8000+14300+7400+147200)/100000</f>
        <v>4.789</v>
      </c>
      <c r="K44" s="76">
        <f>SUM(G44:J44)</f>
        <v>7.5008</v>
      </c>
      <c r="L44" s="50">
        <f>+((C44+D44+E44+F44)-(G44+H44+I44+J44))*-1</f>
        <v>-1.4992</v>
      </c>
      <c r="M44" s="91">
        <f>+K44/B44</f>
        <v>0.833422222222222</v>
      </c>
      <c r="N44" s="92"/>
      <c r="O44" s="93"/>
    </row>
    <row r="45" spans="1:15">
      <c r="A45" s="53" t="s">
        <v>35</v>
      </c>
      <c r="B45" s="48">
        <f>SUM(C45:F45)</f>
        <v>0.75</v>
      </c>
      <c r="C45" s="35">
        <v>0</v>
      </c>
      <c r="D45" s="52">
        <v>0.5</v>
      </c>
      <c r="E45" s="52">
        <v>0</v>
      </c>
      <c r="F45" s="52">
        <v>0.25</v>
      </c>
      <c r="G45" s="49">
        <f>+(4400)/100000</f>
        <v>0.044</v>
      </c>
      <c r="H45" s="50"/>
      <c r="I45" s="50"/>
      <c r="J45" s="50">
        <f>+(52800)/100000</f>
        <v>0.528</v>
      </c>
      <c r="K45" s="76">
        <f>SUM(G45:J45)</f>
        <v>0.572</v>
      </c>
      <c r="L45" s="50">
        <f>+((C45+D45+E45+F45)-(G45+H45+I45+J45))*-1</f>
        <v>-0.178</v>
      </c>
      <c r="M45" s="91">
        <f>+K45/B45</f>
        <v>0.762666666666667</v>
      </c>
      <c r="N45" s="92"/>
      <c r="O45" s="93"/>
    </row>
    <row r="46" spans="1:15">
      <c r="A46" s="53" t="s">
        <v>38</v>
      </c>
      <c r="B46" s="48">
        <f>SUM(C46:F46)</f>
        <v>24</v>
      </c>
      <c r="C46" s="35">
        <v>6</v>
      </c>
      <c r="D46" s="52">
        <v>5.5</v>
      </c>
      <c r="E46" s="52">
        <v>6</v>
      </c>
      <c r="F46" s="52">
        <v>6.5</v>
      </c>
      <c r="G46" s="49">
        <f>+(10000+5600+15400+37680+170800+1400+16000+101895+1400+64600+1400+20400+1000+1600+9000)/100000</f>
        <v>4.58175</v>
      </c>
      <c r="H46" s="50">
        <f>+(91800+1600+3000+31600+28130+5720+4400+43200+73300+1600+300+2000+1600+103210+13200+800)/100000</f>
        <v>4.0546</v>
      </c>
      <c r="I46" s="50">
        <f>+(19800+1900+3000+40000+50165+8700+18180+11000+1000+8800+600+18200+70150+4200+6000+2300+6580+1000+9000+1000+2700)/100000</f>
        <v>2.84275</v>
      </c>
      <c r="J46" s="50">
        <f>+(37600+38000+1800+6270+863180+10200+26620+5000+19800+3200+95+38800+2600+212500+47000+4200+4000+1000)/100000</f>
        <v>13.21865</v>
      </c>
      <c r="K46" s="76">
        <f>SUM(G46:J46)</f>
        <v>24.69775</v>
      </c>
      <c r="L46" s="50">
        <f>+((C46+D46+E46+F46)-(G46+H46+I46+J46))*-1</f>
        <v>0.697749999999999</v>
      </c>
      <c r="M46" s="91">
        <f>+K46/B46</f>
        <v>1.02907291666667</v>
      </c>
      <c r="N46" s="92"/>
      <c r="O46" s="93"/>
    </row>
    <row r="47" spans="1:15">
      <c r="A47" s="54" t="s">
        <v>44</v>
      </c>
      <c r="B47" s="48">
        <f>SUM(C47:F47)</f>
        <v>166</v>
      </c>
      <c r="C47" s="35">
        <f t="shared" ref="C47:J47" si="14">SUM(C32:C46)</f>
        <v>41.5</v>
      </c>
      <c r="D47" s="48">
        <f>SUM(D32:D46)</f>
        <v>39.5</v>
      </c>
      <c r="E47" s="48">
        <f>SUM(E32:E46)</f>
        <v>39.5</v>
      </c>
      <c r="F47" s="48">
        <f>SUM(F32:F46)</f>
        <v>45.5</v>
      </c>
      <c r="G47" s="49">
        <f>SUM(G32:G46)</f>
        <v>29.3364</v>
      </c>
      <c r="H47" s="50">
        <f>SUM(H32:H46)</f>
        <v>29.53953</v>
      </c>
      <c r="I47" s="50">
        <f>SUM(I32:I46)</f>
        <v>33.26319</v>
      </c>
      <c r="J47" s="50">
        <f>SUM(J32:J46)</f>
        <v>48.12825</v>
      </c>
      <c r="K47" s="76">
        <f>SUM(G47:J47)</f>
        <v>140.26737</v>
      </c>
      <c r="L47" s="50">
        <f>+((C47+D47+E47+F47)-(G47+H47+I47+J47))*-1</f>
        <v>-25.73263</v>
      </c>
      <c r="M47" s="91">
        <f>+K47/B47</f>
        <v>0.844984156626506</v>
      </c>
      <c r="N47" s="92"/>
      <c r="O47" s="93"/>
    </row>
    <row r="48" spans="1:15">
      <c r="A48" s="55"/>
      <c r="B48" s="56"/>
      <c r="C48" s="57"/>
      <c r="N48" s="94"/>
      <c r="O48" s="95"/>
    </row>
    <row r="49" spans="14:15">
      <c r="N49" s="92"/>
      <c r="O49" s="93"/>
    </row>
    <row r="50" spans="14:15">
      <c r="N50" s="92"/>
      <c r="O50" s="93"/>
    </row>
    <row r="51" spans="2:15">
      <c r="B51" s="1"/>
      <c r="N51" s="92"/>
      <c r="O51" s="93"/>
    </row>
    <row r="52" spans="2:15">
      <c r="B52" s="1"/>
      <c r="N52" s="92"/>
      <c r="O52" s="93"/>
    </row>
    <row r="53" spans="2:15">
      <c r="B53" s="1"/>
      <c r="N53" s="92"/>
      <c r="O53" s="93"/>
    </row>
    <row r="54" spans="2:15">
      <c r="B54" s="1"/>
      <c r="N54" s="92"/>
      <c r="O54" s="93"/>
    </row>
    <row r="55" spans="2:15">
      <c r="B55" s="1"/>
      <c r="N55" s="92"/>
      <c r="O55" s="93"/>
    </row>
    <row r="56" spans="2:15">
      <c r="B56" s="1"/>
      <c r="N56" s="92"/>
      <c r="O56" s="93"/>
    </row>
    <row r="57" spans="2:15">
      <c r="B57" s="1"/>
      <c r="N57" s="92"/>
      <c r="O57" s="93"/>
    </row>
    <row r="58" spans="2:15">
      <c r="B58" s="1"/>
      <c r="N58" s="94"/>
      <c r="O58" s="95"/>
    </row>
    <row r="59" spans="2:15">
      <c r="B59" s="1"/>
      <c r="N59" s="92"/>
      <c r="O59" s="93"/>
    </row>
    <row r="60" spans="2:15">
      <c r="B60" s="1"/>
      <c r="N60" s="92"/>
      <c r="O60" s="93"/>
    </row>
    <row r="61" spans="2:15">
      <c r="B61" s="1"/>
      <c r="N61" s="92"/>
      <c r="O61" s="93"/>
    </row>
    <row r="62" spans="2:15">
      <c r="B62" s="1"/>
      <c r="N62" s="92"/>
      <c r="O62" s="93"/>
    </row>
    <row r="63" spans="2:15">
      <c r="B63" s="1"/>
      <c r="N63" s="92"/>
      <c r="O63" s="93"/>
    </row>
    <row r="64" spans="2:15">
      <c r="B64" s="1"/>
      <c r="N64" s="92"/>
      <c r="O64" s="93"/>
    </row>
    <row r="65" spans="2:15">
      <c r="B65" s="1"/>
      <c r="N65" s="92"/>
      <c r="O65" s="93"/>
    </row>
    <row r="66" spans="2:15">
      <c r="B66" s="1"/>
      <c r="N66" s="94"/>
      <c r="O66" s="95"/>
    </row>
    <row r="67" spans="2:15">
      <c r="B67" s="1"/>
      <c r="N67" s="92"/>
      <c r="O67" s="93"/>
    </row>
    <row r="68" spans="2:15">
      <c r="B68" s="1"/>
      <c r="N68" s="92"/>
      <c r="O68" s="93"/>
    </row>
    <row r="69" spans="2:15">
      <c r="B69" s="1"/>
      <c r="N69" s="92"/>
      <c r="O69" s="93"/>
    </row>
    <row r="70" spans="2:15">
      <c r="B70" s="1"/>
      <c r="N70" s="92"/>
      <c r="O70" s="93"/>
    </row>
    <row r="71" spans="2:15">
      <c r="B71" s="1"/>
      <c r="N71" s="92"/>
      <c r="O71" s="93"/>
    </row>
    <row r="72" spans="2:15">
      <c r="B72" s="1"/>
      <c r="N72" s="92"/>
      <c r="O72" s="93"/>
    </row>
    <row r="73" spans="2:15">
      <c r="B73" s="1"/>
      <c r="N73" s="92"/>
      <c r="O73" s="93"/>
    </row>
    <row r="74" spans="2:15">
      <c r="B74" s="1"/>
      <c r="N74" s="92"/>
      <c r="O74" s="96"/>
    </row>
  </sheetData>
  <mergeCells count="5">
    <mergeCell ref="D5:F5"/>
    <mergeCell ref="C6:F6"/>
    <mergeCell ref="G6:J6"/>
    <mergeCell ref="C30:F30"/>
    <mergeCell ref="G30:J30"/>
  </mergeCells>
  <pageMargins left="0.699305555555556" right="0.699305555555556" top="0.75" bottom="0.75" header="0.3" footer="0.3"/>
  <pageSetup paperSize="9" orientation="landscape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78"/>
  <sheetViews>
    <sheetView topLeftCell="A15" workbookViewId="0">
      <selection activeCell="E24" sqref="E24"/>
    </sheetView>
  </sheetViews>
  <sheetFormatPr defaultColWidth="9" defaultRowHeight="15"/>
  <cols>
    <col min="1" max="1" width="17.4285714285714" style="1" customWidth="1"/>
    <col min="2" max="2" width="9" style="2" customWidth="1"/>
    <col min="3" max="3" width="8.42857142857143" style="1" customWidth="1"/>
    <col min="4" max="4" width="8.57142857142857" style="1" customWidth="1"/>
    <col min="5" max="5" width="8.28571428571429" style="1" customWidth="1"/>
    <col min="6" max="6" width="8.71428571428571" style="1" customWidth="1"/>
    <col min="7" max="7" width="8.28571428571429" style="1" customWidth="1"/>
    <col min="8" max="8" width="8.85714285714286" style="1" customWidth="1"/>
    <col min="9" max="9" width="10.1428571428571" style="1" customWidth="1"/>
    <col min="10" max="10" width="10" style="1" customWidth="1"/>
    <col min="11" max="11" width="10.7142857142857" style="1" customWidth="1"/>
    <col min="12" max="12" width="11.4285714285714" style="1" customWidth="1"/>
    <col min="13" max="13" width="7.85714285714286" style="1" customWidth="1"/>
    <col min="14" max="14" width="10.5714285714286" style="1" customWidth="1"/>
    <col min="15" max="15" width="9.14285714285714" style="1"/>
    <col min="16" max="16" width="16.7142857142857" style="1" customWidth="1"/>
    <col min="17" max="16384" width="9.14285714285714" style="1"/>
  </cols>
  <sheetData>
    <row r="1" spans="1:13">
      <c r="A1" s="3" t="s">
        <v>400</v>
      </c>
      <c r="B1" s="4" t="s">
        <v>401</v>
      </c>
      <c r="C1" s="5"/>
      <c r="D1" s="5"/>
      <c r="E1" s="5"/>
      <c r="F1" s="5"/>
      <c r="G1" s="5"/>
      <c r="H1" s="5"/>
      <c r="I1" s="5"/>
      <c r="J1" s="5"/>
      <c r="K1" s="5"/>
      <c r="L1" s="5"/>
      <c r="M1" s="58"/>
    </row>
    <row r="2" spans="1:14">
      <c r="A2" s="6" t="s">
        <v>386</v>
      </c>
      <c r="B2" s="7">
        <f>+K31</f>
        <v>99</v>
      </c>
      <c r="C2" s="8"/>
      <c r="D2" s="8"/>
      <c r="E2" s="8"/>
      <c r="F2" s="8"/>
      <c r="G2" s="9"/>
      <c r="H2" s="10"/>
      <c r="I2" s="59"/>
      <c r="J2" s="10"/>
      <c r="K2" s="10"/>
      <c r="L2" s="10"/>
      <c r="M2" s="8"/>
      <c r="N2" s="60"/>
    </row>
    <row r="3" spans="1:14">
      <c r="A3" s="6" t="s">
        <v>366</v>
      </c>
      <c r="B3" s="7">
        <f>+L31</f>
        <v>245.5</v>
      </c>
      <c r="C3" s="8"/>
      <c r="D3" s="8"/>
      <c r="E3" s="8"/>
      <c r="F3" s="8"/>
      <c r="G3" s="9"/>
      <c r="H3" s="10"/>
      <c r="I3" s="10"/>
      <c r="J3" s="10"/>
      <c r="K3" s="10"/>
      <c r="L3" s="61"/>
      <c r="M3" s="62"/>
      <c r="N3" s="60"/>
    </row>
    <row r="4" spans="1:14">
      <c r="A4" s="6" t="s">
        <v>402</v>
      </c>
      <c r="B4" s="11"/>
      <c r="C4" s="12"/>
      <c r="D4" s="13" t="s">
        <v>5</v>
      </c>
      <c r="E4" s="13">
        <v>13.5</v>
      </c>
      <c r="F4" s="12"/>
      <c r="G4" s="14"/>
      <c r="H4" s="15"/>
      <c r="I4" s="62" t="s">
        <v>7</v>
      </c>
      <c r="J4" s="13">
        <f>+K51</f>
        <v>170.82206</v>
      </c>
      <c r="K4" s="12" t="s">
        <v>8</v>
      </c>
      <c r="L4" s="12" t="s">
        <v>403</v>
      </c>
      <c r="M4" s="12"/>
      <c r="N4" s="60"/>
    </row>
    <row r="5" spans="1:14">
      <c r="A5" s="16" t="s">
        <v>10</v>
      </c>
      <c r="B5" s="17" t="s">
        <v>404</v>
      </c>
      <c r="C5" s="18" t="s">
        <v>113</v>
      </c>
      <c r="D5" s="19">
        <v>17469250</v>
      </c>
      <c r="E5" s="19"/>
      <c r="F5" s="19"/>
      <c r="G5" s="20"/>
      <c r="H5" s="21"/>
      <c r="I5" s="62"/>
      <c r="J5" s="62"/>
      <c r="K5" s="62"/>
      <c r="L5" s="62"/>
      <c r="M5" s="62"/>
      <c r="N5" s="60"/>
    </row>
    <row r="6" spans="1:14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64"/>
      <c r="N6" s="60"/>
    </row>
    <row r="7" ht="38.25" spans="1:16">
      <c r="A7" s="25" t="s">
        <v>16</v>
      </c>
      <c r="B7" s="25" t="s">
        <v>317</v>
      </c>
      <c r="C7" s="25" t="s">
        <v>18</v>
      </c>
      <c r="D7" s="25" t="s">
        <v>179</v>
      </c>
      <c r="E7" s="25" t="s">
        <v>123</v>
      </c>
      <c r="F7" s="25" t="s">
        <v>106</v>
      </c>
      <c r="G7" s="25" t="s">
        <v>18</v>
      </c>
      <c r="H7" s="25" t="s">
        <v>122</v>
      </c>
      <c r="I7" s="25" t="s">
        <v>155</v>
      </c>
      <c r="J7" s="25" t="s">
        <v>107</v>
      </c>
      <c r="K7" s="25" t="s">
        <v>386</v>
      </c>
      <c r="L7" s="65" t="s">
        <v>392</v>
      </c>
      <c r="M7" s="65" t="s">
        <v>393</v>
      </c>
      <c r="N7" s="66" t="s">
        <v>394</v>
      </c>
      <c r="O7" s="65" t="s">
        <v>395</v>
      </c>
      <c r="P7" s="67" t="s">
        <v>396</v>
      </c>
    </row>
    <row r="8" spans="1:16">
      <c r="A8" s="26" t="s">
        <v>371</v>
      </c>
      <c r="B8" s="25">
        <f t="shared" ref="B8:B31" si="0">SUM(C8:F8)</f>
        <v>2</v>
      </c>
      <c r="C8" s="27">
        <v>0</v>
      </c>
      <c r="D8" s="27">
        <v>1</v>
      </c>
      <c r="E8" s="27">
        <v>1</v>
      </c>
      <c r="F8" s="25">
        <v>0</v>
      </c>
      <c r="G8" s="28"/>
      <c r="H8" s="28"/>
      <c r="I8" s="28"/>
      <c r="J8" s="28"/>
      <c r="K8" s="28">
        <f t="shared" ref="K8:K31" si="1">SUM(G8:J8)</f>
        <v>0</v>
      </c>
      <c r="L8" s="28"/>
      <c r="M8" s="68"/>
      <c r="N8" s="69"/>
      <c r="O8" s="70">
        <f>+K8+M8</f>
        <v>0</v>
      </c>
      <c r="P8" s="71">
        <f>+N8+L8</f>
        <v>0</v>
      </c>
    </row>
    <row r="9" spans="1:16">
      <c r="A9" s="29" t="s">
        <v>325</v>
      </c>
      <c r="B9" s="25">
        <f>SUM(C9:F9)</f>
        <v>12</v>
      </c>
      <c r="C9" s="27">
        <v>3</v>
      </c>
      <c r="D9" s="27">
        <v>3</v>
      </c>
      <c r="E9" s="27">
        <v>3</v>
      </c>
      <c r="F9" s="25">
        <v>3</v>
      </c>
      <c r="G9" s="28">
        <v>1</v>
      </c>
      <c r="H9" s="28"/>
      <c r="I9" s="28"/>
      <c r="J9" s="28"/>
      <c r="K9" s="28">
        <f>SUM(G9:J9)</f>
        <v>1</v>
      </c>
      <c r="L9" s="28">
        <v>1</v>
      </c>
      <c r="M9" s="68">
        <v>2</v>
      </c>
      <c r="N9" s="69">
        <v>1.5</v>
      </c>
      <c r="O9" s="70">
        <f t="shared" ref="O9:O31" si="2">+K9+M9</f>
        <v>3</v>
      </c>
      <c r="P9" s="71">
        <f t="shared" ref="P9:P31" si="3">+N9+L9</f>
        <v>2.5</v>
      </c>
    </row>
    <row r="10" spans="1:16">
      <c r="A10" s="29" t="s">
        <v>397</v>
      </c>
      <c r="B10" s="25">
        <f>SUM(C10:F10)</f>
        <v>7</v>
      </c>
      <c r="C10" s="27">
        <v>2</v>
      </c>
      <c r="D10" s="27">
        <v>3</v>
      </c>
      <c r="E10" s="27" t="s">
        <v>405</v>
      </c>
      <c r="F10" s="25">
        <v>2</v>
      </c>
      <c r="G10" s="28">
        <v>4</v>
      </c>
      <c r="H10" s="28">
        <v>2</v>
      </c>
      <c r="I10" s="28"/>
      <c r="J10" s="28">
        <v>4</v>
      </c>
      <c r="K10" s="28">
        <f>SUM(G10:J10)</f>
        <v>10</v>
      </c>
      <c r="L10" s="28">
        <v>18.5</v>
      </c>
      <c r="M10" s="68">
        <v>6</v>
      </c>
      <c r="N10" s="69">
        <v>6.5</v>
      </c>
      <c r="O10" s="70">
        <f>+K10+M10</f>
        <v>16</v>
      </c>
      <c r="P10" s="71">
        <f>+N10+L10</f>
        <v>25</v>
      </c>
    </row>
    <row r="11" spans="1:16">
      <c r="A11" s="29" t="s">
        <v>398</v>
      </c>
      <c r="B11" s="25">
        <f>SUM(C11:F11)</f>
        <v>10</v>
      </c>
      <c r="C11" s="27">
        <v>2</v>
      </c>
      <c r="D11" s="27">
        <v>3</v>
      </c>
      <c r="E11" s="27">
        <v>3</v>
      </c>
      <c r="F11" s="25">
        <v>2</v>
      </c>
      <c r="G11" s="28">
        <v>3</v>
      </c>
      <c r="H11" s="28"/>
      <c r="I11" s="28"/>
      <c r="J11" s="28">
        <v>1</v>
      </c>
      <c r="K11" s="28">
        <f>SUM(G11:J11)</f>
        <v>4</v>
      </c>
      <c r="L11" s="28">
        <v>8.5</v>
      </c>
      <c r="M11" s="68">
        <v>1</v>
      </c>
      <c r="N11" s="69">
        <v>0.5</v>
      </c>
      <c r="O11" s="70">
        <f>+K11+M11</f>
        <v>5</v>
      </c>
      <c r="P11" s="71">
        <f>+N11+L11</f>
        <v>9</v>
      </c>
    </row>
    <row r="12" spans="1:16">
      <c r="A12" s="29" t="s">
        <v>372</v>
      </c>
      <c r="B12" s="25">
        <f>SUM(C12:F12)</f>
        <v>6</v>
      </c>
      <c r="C12" s="27">
        <v>2</v>
      </c>
      <c r="D12" s="27">
        <v>1</v>
      </c>
      <c r="E12" s="27">
        <v>2</v>
      </c>
      <c r="F12" s="25">
        <v>1</v>
      </c>
      <c r="G12" s="28">
        <v>1</v>
      </c>
      <c r="H12" s="28"/>
      <c r="I12" s="28"/>
      <c r="J12" s="28">
        <v>2</v>
      </c>
      <c r="K12" s="28">
        <f>SUM(G12:J12)</f>
        <v>3</v>
      </c>
      <c r="L12" s="28">
        <v>2.5</v>
      </c>
      <c r="M12" s="68"/>
      <c r="N12" s="69"/>
      <c r="O12" s="70">
        <f>+K12+M12</f>
        <v>3</v>
      </c>
      <c r="P12" s="71">
        <f>+N12+L12</f>
        <v>2.5</v>
      </c>
    </row>
    <row r="13" spans="1:16">
      <c r="A13" s="29" t="s">
        <v>305</v>
      </c>
      <c r="B13" s="25">
        <f>SUM(C13:F13)</f>
        <v>0</v>
      </c>
      <c r="C13" s="27">
        <v>0</v>
      </c>
      <c r="D13" s="27">
        <v>0</v>
      </c>
      <c r="E13" s="27">
        <v>0</v>
      </c>
      <c r="F13" s="25">
        <v>0</v>
      </c>
      <c r="G13" s="28"/>
      <c r="H13" s="28"/>
      <c r="I13" s="28"/>
      <c r="J13" s="28"/>
      <c r="K13" s="28">
        <f>SUM(G13:J13)</f>
        <v>0</v>
      </c>
      <c r="L13" s="28"/>
      <c r="M13" s="72">
        <v>1</v>
      </c>
      <c r="N13" s="69">
        <v>3</v>
      </c>
      <c r="O13" s="70">
        <f>+K13+M13</f>
        <v>1</v>
      </c>
      <c r="P13" s="71">
        <f>+N13+L13</f>
        <v>3</v>
      </c>
    </row>
    <row r="14" spans="1:16">
      <c r="A14" s="29" t="s">
        <v>373</v>
      </c>
      <c r="B14" s="25">
        <f>SUM(C14:F14)</f>
        <v>0</v>
      </c>
      <c r="C14" s="27">
        <v>0</v>
      </c>
      <c r="D14" s="27">
        <v>0</v>
      </c>
      <c r="E14" s="27">
        <v>0</v>
      </c>
      <c r="F14" s="25">
        <v>0</v>
      </c>
      <c r="G14" s="28">
        <v>1</v>
      </c>
      <c r="H14" s="28">
        <v>1</v>
      </c>
      <c r="I14" s="28"/>
      <c r="J14" s="28">
        <v>2</v>
      </c>
      <c r="K14" s="28">
        <f>SUM(G14:J14)</f>
        <v>4</v>
      </c>
      <c r="L14" s="28">
        <v>4.5</v>
      </c>
      <c r="M14" s="72">
        <v>2</v>
      </c>
      <c r="N14" s="69">
        <v>4.5</v>
      </c>
      <c r="O14" s="70">
        <f>+K14+M14</f>
        <v>6</v>
      </c>
      <c r="P14" s="71">
        <f>+N14+L14</f>
        <v>9</v>
      </c>
    </row>
    <row r="15" spans="1:16">
      <c r="A15" s="29" t="s">
        <v>263</v>
      </c>
      <c r="B15" s="25">
        <f>SUM(C15:F15)</f>
        <v>0</v>
      </c>
      <c r="C15" s="27">
        <v>0</v>
      </c>
      <c r="D15" s="27">
        <v>0</v>
      </c>
      <c r="E15" s="27">
        <v>0</v>
      </c>
      <c r="F15" s="25">
        <v>0</v>
      </c>
      <c r="G15" s="28"/>
      <c r="H15" s="28"/>
      <c r="I15" s="28"/>
      <c r="J15" s="28">
        <v>1</v>
      </c>
      <c r="K15" s="28">
        <f>SUM(G15:J15)</f>
        <v>1</v>
      </c>
      <c r="L15" s="28">
        <v>1.5</v>
      </c>
      <c r="M15" s="72"/>
      <c r="N15" s="69"/>
      <c r="O15" s="70">
        <f>+K15+M15</f>
        <v>1</v>
      </c>
      <c r="P15" s="71">
        <f>+N15+L15</f>
        <v>1.5</v>
      </c>
    </row>
    <row r="16" spans="1:16">
      <c r="A16" s="26" t="s">
        <v>374</v>
      </c>
      <c r="B16" s="25">
        <f>SUM(C16:F16)</f>
        <v>3</v>
      </c>
      <c r="C16" s="27">
        <v>0</v>
      </c>
      <c r="D16" s="27">
        <v>1</v>
      </c>
      <c r="E16" s="27">
        <v>1</v>
      </c>
      <c r="F16" s="27">
        <v>1</v>
      </c>
      <c r="G16" s="28"/>
      <c r="H16" s="28"/>
      <c r="I16" s="28"/>
      <c r="J16" s="28"/>
      <c r="K16" s="28">
        <f>SUM(G16:J16)</f>
        <v>0</v>
      </c>
      <c r="L16" s="28"/>
      <c r="M16" s="72"/>
      <c r="N16" s="69"/>
      <c r="O16" s="70">
        <f>+K16+M16</f>
        <v>0</v>
      </c>
      <c r="P16" s="71">
        <f>+N16+L16</f>
        <v>0</v>
      </c>
    </row>
    <row r="17" spans="1:16">
      <c r="A17" s="29" t="s">
        <v>375</v>
      </c>
      <c r="B17" s="25">
        <f>SUM(C17:F17)</f>
        <v>12</v>
      </c>
      <c r="C17" s="27">
        <v>3</v>
      </c>
      <c r="D17" s="27">
        <v>3</v>
      </c>
      <c r="E17" s="27">
        <v>3</v>
      </c>
      <c r="F17" s="27">
        <v>3</v>
      </c>
      <c r="G17" s="28">
        <v>9</v>
      </c>
      <c r="H17" s="28">
        <v>1</v>
      </c>
      <c r="I17" s="28">
        <v>3</v>
      </c>
      <c r="J17" s="28">
        <v>9</v>
      </c>
      <c r="K17" s="28">
        <f>SUM(G17:J17)</f>
        <v>22</v>
      </c>
      <c r="L17" s="28">
        <v>24.5</v>
      </c>
      <c r="M17" s="72">
        <v>2</v>
      </c>
      <c r="N17" s="69">
        <v>1.5</v>
      </c>
      <c r="O17" s="70">
        <f>+K17+M17</f>
        <v>24</v>
      </c>
      <c r="P17" s="71">
        <f>+N17+L17</f>
        <v>26</v>
      </c>
    </row>
    <row r="18" spans="1:16">
      <c r="A18" s="29" t="s">
        <v>350</v>
      </c>
      <c r="B18" s="25">
        <f>SUM(C18:F18)</f>
        <v>6</v>
      </c>
      <c r="C18" s="27">
        <v>0</v>
      </c>
      <c r="D18" s="27">
        <v>2</v>
      </c>
      <c r="E18" s="27">
        <v>2</v>
      </c>
      <c r="F18" s="27">
        <v>2</v>
      </c>
      <c r="G18" s="28"/>
      <c r="H18" s="28"/>
      <c r="I18" s="28"/>
      <c r="J18" s="28">
        <v>5</v>
      </c>
      <c r="K18" s="28">
        <f>SUM(G18:J18)</f>
        <v>5</v>
      </c>
      <c r="L18" s="28">
        <v>6.5</v>
      </c>
      <c r="M18" s="72">
        <v>1</v>
      </c>
      <c r="N18" s="69">
        <v>1</v>
      </c>
      <c r="O18" s="70">
        <f>+K18+M18</f>
        <v>6</v>
      </c>
      <c r="P18" s="71">
        <f>+N18+L18</f>
        <v>7.5</v>
      </c>
    </row>
    <row r="19" spans="1:16">
      <c r="A19" s="29" t="s">
        <v>376</v>
      </c>
      <c r="B19" s="25">
        <f>SUM(C19:F19)</f>
        <v>6</v>
      </c>
      <c r="C19" s="27">
        <v>1</v>
      </c>
      <c r="D19" s="27">
        <v>2</v>
      </c>
      <c r="E19" s="27">
        <v>2</v>
      </c>
      <c r="F19" s="27">
        <v>1</v>
      </c>
      <c r="G19" s="28"/>
      <c r="H19" s="28">
        <v>1</v>
      </c>
      <c r="I19" s="28"/>
      <c r="J19" s="28"/>
      <c r="K19" s="28">
        <f>SUM(G19:J19)</f>
        <v>1</v>
      </c>
      <c r="L19" s="28">
        <v>1.5</v>
      </c>
      <c r="M19" s="72">
        <v>3</v>
      </c>
      <c r="N19" s="69">
        <v>5</v>
      </c>
      <c r="O19" s="70">
        <f>+K19+M19</f>
        <v>4</v>
      </c>
      <c r="P19" s="71">
        <f>+N19+L19</f>
        <v>6.5</v>
      </c>
    </row>
    <row r="20" spans="1:16">
      <c r="A20" s="29" t="s">
        <v>377</v>
      </c>
      <c r="B20" s="25">
        <f>SUM(C20:F20)</f>
        <v>0</v>
      </c>
      <c r="C20" s="27">
        <v>0</v>
      </c>
      <c r="D20" s="27">
        <v>0</v>
      </c>
      <c r="E20" s="27">
        <v>0</v>
      </c>
      <c r="F20" s="27">
        <v>0</v>
      </c>
      <c r="G20" s="28"/>
      <c r="H20" s="28"/>
      <c r="I20" s="28"/>
      <c r="J20" s="28"/>
      <c r="K20" s="28">
        <f>SUM(G20:J20)</f>
        <v>0</v>
      </c>
      <c r="L20" s="28"/>
      <c r="M20" s="72">
        <v>1</v>
      </c>
      <c r="N20" s="69">
        <v>3</v>
      </c>
      <c r="O20" s="70">
        <f>+K20+M20</f>
        <v>1</v>
      </c>
      <c r="P20" s="71">
        <f>+N20+L20</f>
        <v>3</v>
      </c>
    </row>
    <row r="21" spans="1:16">
      <c r="A21" s="29" t="s">
        <v>406</v>
      </c>
      <c r="B21" s="25">
        <f>SUM(C21:F21)</f>
        <v>0</v>
      </c>
      <c r="C21" s="27"/>
      <c r="D21" s="27"/>
      <c r="E21" s="27"/>
      <c r="F21" s="27"/>
      <c r="G21" s="28"/>
      <c r="H21" s="28"/>
      <c r="I21" s="28"/>
      <c r="J21" s="28">
        <v>1</v>
      </c>
      <c r="K21" s="28">
        <f>SUM(G21:J21)</f>
        <v>1</v>
      </c>
      <c r="L21" s="28">
        <v>0.5</v>
      </c>
      <c r="M21" s="72">
        <v>0</v>
      </c>
      <c r="N21" s="69"/>
      <c r="O21" s="70">
        <f>+K21+M21</f>
        <v>1</v>
      </c>
      <c r="P21" s="71">
        <f>+N21+L21</f>
        <v>0.5</v>
      </c>
    </row>
    <row r="22" spans="1:16">
      <c r="A22" s="30" t="s">
        <v>378</v>
      </c>
      <c r="B22" s="25">
        <f>SUM(C22:F22)</f>
        <v>3</v>
      </c>
      <c r="C22" s="27">
        <v>0</v>
      </c>
      <c r="D22" s="27">
        <v>1</v>
      </c>
      <c r="E22" s="27">
        <v>1</v>
      </c>
      <c r="F22" s="27">
        <v>1</v>
      </c>
      <c r="G22" s="28"/>
      <c r="H22" s="28"/>
      <c r="I22" s="28"/>
      <c r="J22" s="28"/>
      <c r="K22" s="28">
        <f>SUM(G22:J22)</f>
        <v>0</v>
      </c>
      <c r="L22" s="28"/>
      <c r="M22" s="72"/>
      <c r="N22" s="69"/>
      <c r="O22" s="70">
        <f>+K22+M22</f>
        <v>0</v>
      </c>
      <c r="P22" s="71">
        <f>+N22+L22</f>
        <v>0</v>
      </c>
    </row>
    <row r="23" spans="1:16">
      <c r="A23" s="31" t="s">
        <v>379</v>
      </c>
      <c r="B23" s="25">
        <f>SUM(C23:F23)</f>
        <v>12</v>
      </c>
      <c r="C23" s="27">
        <v>3</v>
      </c>
      <c r="D23" s="27">
        <v>3</v>
      </c>
      <c r="E23" s="27">
        <v>3</v>
      </c>
      <c r="F23" s="27">
        <v>3</v>
      </c>
      <c r="G23" s="28">
        <v>4</v>
      </c>
      <c r="H23" s="28">
        <v>3</v>
      </c>
      <c r="I23" s="28">
        <v>2</v>
      </c>
      <c r="J23" s="28">
        <v>6</v>
      </c>
      <c r="K23" s="28">
        <f>SUM(G23:J23)</f>
        <v>15</v>
      </c>
      <c r="L23" s="28">
        <v>21</v>
      </c>
      <c r="M23" s="72">
        <v>1</v>
      </c>
      <c r="N23" s="69">
        <v>1</v>
      </c>
      <c r="O23" s="70">
        <f>+K23+M23</f>
        <v>16</v>
      </c>
      <c r="P23" s="71">
        <f>+N23+L23</f>
        <v>22</v>
      </c>
    </row>
    <row r="24" spans="1:16">
      <c r="A24" s="31" t="s">
        <v>407</v>
      </c>
      <c r="B24" s="25">
        <f>SUM(C24:F24)</f>
        <v>6</v>
      </c>
      <c r="C24" s="27">
        <v>1</v>
      </c>
      <c r="D24" s="27">
        <v>1</v>
      </c>
      <c r="E24" s="27">
        <v>2</v>
      </c>
      <c r="F24" s="27">
        <v>2</v>
      </c>
      <c r="G24" s="28">
        <v>2</v>
      </c>
      <c r="H24" s="28">
        <v>1</v>
      </c>
      <c r="I24" s="28">
        <v>1</v>
      </c>
      <c r="J24" s="28">
        <v>2</v>
      </c>
      <c r="K24" s="28">
        <f>SUM(G24:J24)</f>
        <v>6</v>
      </c>
      <c r="L24" s="28">
        <v>7.5</v>
      </c>
      <c r="M24" s="72">
        <v>0</v>
      </c>
      <c r="N24" s="69">
        <v>0</v>
      </c>
      <c r="O24" s="70">
        <f>+K24+M24</f>
        <v>6</v>
      </c>
      <c r="P24" s="71">
        <f>+N24+L24</f>
        <v>7.5</v>
      </c>
    </row>
    <row r="25" spans="1:16">
      <c r="A25" s="31" t="s">
        <v>408</v>
      </c>
      <c r="B25" s="25">
        <f>SUM(C25:F25)</f>
        <v>6</v>
      </c>
      <c r="C25" s="27">
        <v>1</v>
      </c>
      <c r="D25" s="27">
        <v>2</v>
      </c>
      <c r="E25" s="27">
        <v>2</v>
      </c>
      <c r="F25" s="27">
        <v>1</v>
      </c>
      <c r="G25" s="28">
        <v>3</v>
      </c>
      <c r="H25" s="28">
        <v>2</v>
      </c>
      <c r="I25" s="28">
        <v>1</v>
      </c>
      <c r="J25" s="28">
        <v>2</v>
      </c>
      <c r="K25" s="28">
        <f>SUM(G25:J25)</f>
        <v>8</v>
      </c>
      <c r="L25" s="28">
        <v>6</v>
      </c>
      <c r="M25" s="72">
        <v>7</v>
      </c>
      <c r="N25" s="69">
        <v>3.5</v>
      </c>
      <c r="O25" s="70">
        <f>+K25+M25</f>
        <v>15</v>
      </c>
      <c r="P25" s="71">
        <f>+N25+L25</f>
        <v>9.5</v>
      </c>
    </row>
    <row r="26" spans="1:16">
      <c r="A26" s="31" t="s">
        <v>409</v>
      </c>
      <c r="B26" s="25">
        <f>SUM(C26:F26)</f>
        <v>6</v>
      </c>
      <c r="C26" s="27">
        <v>1</v>
      </c>
      <c r="D26" s="27">
        <v>2</v>
      </c>
      <c r="E26" s="27">
        <v>2</v>
      </c>
      <c r="F26" s="27">
        <v>1</v>
      </c>
      <c r="G26" s="28"/>
      <c r="H26" s="28"/>
      <c r="I26" s="28"/>
      <c r="J26" s="28"/>
      <c r="K26" s="28">
        <f>SUM(G26:J26)</f>
        <v>0</v>
      </c>
      <c r="L26" s="28"/>
      <c r="M26" s="72">
        <v>6</v>
      </c>
      <c r="N26" s="69">
        <v>3.5</v>
      </c>
      <c r="O26" s="70">
        <f>+K26+M26</f>
        <v>6</v>
      </c>
      <c r="P26" s="71">
        <f>+N26+L26</f>
        <v>3.5</v>
      </c>
    </row>
    <row r="27" spans="1:16">
      <c r="A27" s="31" t="s">
        <v>410</v>
      </c>
      <c r="B27" s="25">
        <f>SUM(C27:F27)</f>
        <v>0</v>
      </c>
      <c r="C27" s="27"/>
      <c r="D27" s="27"/>
      <c r="E27" s="27"/>
      <c r="F27" s="27"/>
      <c r="G27" s="28">
        <v>1</v>
      </c>
      <c r="H27" s="28">
        <v>1</v>
      </c>
      <c r="I27" s="28"/>
      <c r="J27" s="28">
        <v>1</v>
      </c>
      <c r="K27" s="28">
        <f>SUM(G27:J27)</f>
        <v>3</v>
      </c>
      <c r="L27" s="28">
        <v>7</v>
      </c>
      <c r="M27" s="72">
        <v>0</v>
      </c>
      <c r="N27" s="69">
        <v>0</v>
      </c>
      <c r="O27" s="70">
        <f>+K27+M27</f>
        <v>3</v>
      </c>
      <c r="P27" s="71">
        <f>+N27+L27</f>
        <v>7</v>
      </c>
    </row>
    <row r="28" spans="1:16">
      <c r="A28" s="31" t="s">
        <v>331</v>
      </c>
      <c r="B28" s="25">
        <f>SUM(C28:F28)</f>
        <v>0</v>
      </c>
      <c r="C28" s="27"/>
      <c r="D28" s="27"/>
      <c r="E28" s="27"/>
      <c r="F28" s="27"/>
      <c r="G28" s="28"/>
      <c r="H28" s="28"/>
      <c r="I28" s="28"/>
      <c r="J28" s="28"/>
      <c r="K28" s="28">
        <f>SUM(G28:J28)</f>
        <v>0</v>
      </c>
      <c r="L28" s="28"/>
      <c r="M28" s="72">
        <v>1</v>
      </c>
      <c r="N28" s="69">
        <v>1</v>
      </c>
      <c r="O28" s="70">
        <f>+K28+M28</f>
        <v>1</v>
      </c>
      <c r="P28" s="71">
        <f>+N28+L28</f>
        <v>1</v>
      </c>
    </row>
    <row r="29" spans="1:16">
      <c r="A29" s="32" t="s">
        <v>268</v>
      </c>
      <c r="B29" s="33">
        <f>SUM(C29:F29)</f>
        <v>4</v>
      </c>
      <c r="C29" s="34">
        <v>1</v>
      </c>
      <c r="D29" s="34">
        <v>1</v>
      </c>
      <c r="E29" s="34">
        <v>1</v>
      </c>
      <c r="F29" s="34">
        <v>1</v>
      </c>
      <c r="G29" s="34"/>
      <c r="H29" s="35"/>
      <c r="I29" s="35"/>
      <c r="J29" s="35">
        <v>2</v>
      </c>
      <c r="K29" s="48">
        <f>SUM(G29:J29)</f>
        <v>2</v>
      </c>
      <c r="L29" s="48">
        <v>11</v>
      </c>
      <c r="M29" s="73"/>
      <c r="N29" s="74"/>
      <c r="O29" s="75">
        <f>+K29+M29</f>
        <v>2</v>
      </c>
      <c r="P29" s="76">
        <f>+N29+L29</f>
        <v>11</v>
      </c>
    </row>
    <row r="30" spans="1:16">
      <c r="A30" s="36" t="s">
        <v>269</v>
      </c>
      <c r="B30" s="33">
        <f>SUM(C30:F30)</f>
        <v>5</v>
      </c>
      <c r="C30" s="37">
        <v>1</v>
      </c>
      <c r="D30" s="37">
        <v>1</v>
      </c>
      <c r="E30" s="34">
        <v>1</v>
      </c>
      <c r="F30" s="37">
        <v>2</v>
      </c>
      <c r="G30" s="38">
        <v>4</v>
      </c>
      <c r="H30" s="39">
        <v>1</v>
      </c>
      <c r="I30" s="39">
        <v>3</v>
      </c>
      <c r="J30" s="39">
        <v>5</v>
      </c>
      <c r="K30" s="48">
        <f>SUM(G30:J30)</f>
        <v>13</v>
      </c>
      <c r="L30" s="48">
        <v>123.5</v>
      </c>
      <c r="M30" s="77">
        <v>4</v>
      </c>
      <c r="N30" s="74">
        <v>17.5</v>
      </c>
      <c r="O30" s="75">
        <f>+K30+M30</f>
        <v>17</v>
      </c>
      <c r="P30" s="76">
        <f>+N30+L30</f>
        <v>141</v>
      </c>
    </row>
    <row r="31" spans="1:16">
      <c r="A31" s="40" t="s">
        <v>161</v>
      </c>
      <c r="B31" s="33">
        <f>SUM(C31:F31)</f>
        <v>106</v>
      </c>
      <c r="C31" s="41">
        <f t="shared" ref="C31:J31" si="4">SUM(C8:C30)</f>
        <v>21</v>
      </c>
      <c r="D31" s="41">
        <f>SUM(D8:D30)</f>
        <v>30</v>
      </c>
      <c r="E31" s="34">
        <f>SUM(E8:E30)</f>
        <v>29</v>
      </c>
      <c r="F31" s="41">
        <f>SUM(F8:F30)</f>
        <v>26</v>
      </c>
      <c r="G31" s="41">
        <f>SUM(G8:G30)</f>
        <v>33</v>
      </c>
      <c r="H31" s="41">
        <f>SUM(H8:H30)</f>
        <v>13</v>
      </c>
      <c r="I31" s="41">
        <f>SUM(I8:I30)</f>
        <v>10</v>
      </c>
      <c r="J31" s="41">
        <f>SUM(J8:J30)</f>
        <v>43</v>
      </c>
      <c r="K31" s="78">
        <f>SUM(G31:J31)</f>
        <v>99</v>
      </c>
      <c r="L31" s="78">
        <f t="shared" ref="L31:N31" si="5">SUM(L8:L30)</f>
        <v>245.5</v>
      </c>
      <c r="M31" s="79">
        <f>SUM(M8:M30)</f>
        <v>38</v>
      </c>
      <c r="N31" s="80">
        <f>SUM(N8:N30)</f>
        <v>53</v>
      </c>
      <c r="O31" s="81">
        <f>+K31+M31</f>
        <v>137</v>
      </c>
      <c r="P31" s="82">
        <f>+N31+L31</f>
        <v>298.5</v>
      </c>
    </row>
    <row r="32" spans="1:16">
      <c r="A32" s="42" t="s">
        <v>40</v>
      </c>
      <c r="B32" s="43"/>
      <c r="C32" s="44" t="s">
        <v>14</v>
      </c>
      <c r="D32" s="45"/>
      <c r="E32" s="45"/>
      <c r="F32" s="46"/>
      <c r="G32" s="44"/>
      <c r="H32" s="45"/>
      <c r="I32" s="45"/>
      <c r="J32" s="46"/>
      <c r="K32" s="83"/>
      <c r="L32" s="84"/>
      <c r="M32" s="85"/>
      <c r="N32" s="86"/>
      <c r="O32" s="87"/>
      <c r="P32" s="88"/>
    </row>
    <row r="33" ht="25.5" spans="1:15">
      <c r="A33" s="47" t="s">
        <v>16</v>
      </c>
      <c r="B33" s="47" t="s">
        <v>17</v>
      </c>
      <c r="C33" s="47" t="s">
        <v>18</v>
      </c>
      <c r="D33" s="47" t="s">
        <v>19</v>
      </c>
      <c r="E33" s="47" t="s">
        <v>20</v>
      </c>
      <c r="F33" s="47" t="s">
        <v>21</v>
      </c>
      <c r="G33" s="47" t="s">
        <v>18</v>
      </c>
      <c r="H33" s="47" t="s">
        <v>399</v>
      </c>
      <c r="I33" s="47" t="s">
        <v>20</v>
      </c>
      <c r="J33" s="47" t="s">
        <v>21</v>
      </c>
      <c r="K33" s="47" t="s">
        <v>22</v>
      </c>
      <c r="L33" s="47" t="s">
        <v>41</v>
      </c>
      <c r="M33" s="47" t="s">
        <v>42</v>
      </c>
      <c r="N33" s="89"/>
      <c r="O33" s="90"/>
    </row>
    <row r="34" spans="1:15">
      <c r="A34" s="29" t="s">
        <v>265</v>
      </c>
      <c r="B34" s="48">
        <f>SUM(C34:F34)</f>
        <v>12.5</v>
      </c>
      <c r="C34" s="35">
        <v>3.5</v>
      </c>
      <c r="D34" s="34">
        <v>3</v>
      </c>
      <c r="E34" s="34">
        <v>2.5</v>
      </c>
      <c r="F34" s="34">
        <v>3.5</v>
      </c>
      <c r="G34" s="49">
        <f>+(27500+40610+9620+58380+27300+24300)/100000</f>
        <v>1.8771</v>
      </c>
      <c r="H34" s="50">
        <f>+(82700+48900+29500+60500+50690+59010)/100000</f>
        <v>3.313</v>
      </c>
      <c r="I34" s="50">
        <f>+(132330+68500+80105+29950+147040+16440)/100000</f>
        <v>4.74365</v>
      </c>
      <c r="J34" s="76">
        <f>+(52600+59065+62800+22300+13500+34800+67920+41780)/100000</f>
        <v>3.54765</v>
      </c>
      <c r="K34" s="76">
        <f>SUM(G34:J34)</f>
        <v>13.4814</v>
      </c>
      <c r="L34" s="50">
        <f>+((C34+D34+E34+F34)-(G34+H34+I34+J34))*-1</f>
        <v>0.981400000000001</v>
      </c>
      <c r="M34" s="91">
        <f>+K34/B34</f>
        <v>1.078512</v>
      </c>
      <c r="N34" s="89"/>
      <c r="O34" s="90"/>
    </row>
    <row r="35" spans="1:15">
      <c r="A35" s="29" t="s">
        <v>222</v>
      </c>
      <c r="B35" s="48">
        <f t="shared" ref="B35:B41" si="6">SUM(C35:F35)</f>
        <v>10.5</v>
      </c>
      <c r="C35" s="35">
        <v>2.5</v>
      </c>
      <c r="D35" s="34">
        <v>3</v>
      </c>
      <c r="E35" s="34">
        <v>2</v>
      </c>
      <c r="F35" s="34">
        <v>3</v>
      </c>
      <c r="G35" s="49">
        <f>+(28900+13800+32900+28500+13500)/100000</f>
        <v>1.176</v>
      </c>
      <c r="H35" s="50">
        <f>+(20700+45700+38920+17100+26500+21300)/100000</f>
        <v>1.7022</v>
      </c>
      <c r="I35" s="50">
        <f>+(27700+20000+26200+20000+26100+44800)/100000</f>
        <v>1.648</v>
      </c>
      <c r="J35" s="50">
        <f>+(2800+147500+21000+20900+10700+21100+126000+14950)/100000</f>
        <v>3.6495</v>
      </c>
      <c r="K35" s="76">
        <f t="shared" ref="K35:K51" si="7">SUM(G35:J35)</f>
        <v>8.1757</v>
      </c>
      <c r="L35" s="50">
        <f t="shared" ref="L35:L51" si="8">+((C35+D35+E35+F35)-(G35+H35+I35+J35))*-1</f>
        <v>-2.3243</v>
      </c>
      <c r="M35" s="91">
        <f t="shared" ref="M35:M51" si="9">+K35/B35</f>
        <v>0.778638095238095</v>
      </c>
      <c r="N35" s="89"/>
      <c r="O35" s="90"/>
    </row>
    <row r="36" spans="1:15">
      <c r="A36" s="29" t="s">
        <v>266</v>
      </c>
      <c r="B36" s="48">
        <f>SUM(C36:F36)</f>
        <v>11.25</v>
      </c>
      <c r="C36" s="35">
        <v>3.5</v>
      </c>
      <c r="D36" s="34">
        <v>2.75</v>
      </c>
      <c r="E36" s="34">
        <v>2.5</v>
      </c>
      <c r="F36" s="34">
        <v>2.5</v>
      </c>
      <c r="G36" s="49">
        <f>+(15100+9100+19800+58380+9600+4900)/100000</f>
        <v>1.1688</v>
      </c>
      <c r="H36" s="50">
        <f>+(15200+228500+9050+9500+15300+7400)/100000</f>
        <v>2.8495</v>
      </c>
      <c r="I36" s="50">
        <f>+(26500+31700+26200+18900+8100+28000)/100000</f>
        <v>1.394</v>
      </c>
      <c r="J36" s="50">
        <f>+(16300+25200+13300+122150+28600+10000+27800+32200)/100000</f>
        <v>2.7555</v>
      </c>
      <c r="K36" s="76">
        <f>SUM(G36:J36)</f>
        <v>8.1678</v>
      </c>
      <c r="L36" s="50">
        <f>+((C36+D36+E36+F36)-(G36+H36+I36+J36))*-1</f>
        <v>-3.0822</v>
      </c>
      <c r="M36" s="91">
        <f>+K36/B36</f>
        <v>0.726026666666667</v>
      </c>
      <c r="N36" s="92"/>
      <c r="O36" s="93"/>
    </row>
    <row r="37" spans="1:15">
      <c r="A37" s="29" t="s">
        <v>209</v>
      </c>
      <c r="B37" s="48">
        <f>SUM(C37:F37)</f>
        <v>13.5</v>
      </c>
      <c r="C37" s="34">
        <v>3.5</v>
      </c>
      <c r="D37" s="34">
        <v>3</v>
      </c>
      <c r="E37" s="34">
        <v>3</v>
      </c>
      <c r="F37" s="34">
        <v>4</v>
      </c>
      <c r="G37" s="49">
        <f>+(28200+110800+27600+83900+20800+33400)/100000</f>
        <v>3.047</v>
      </c>
      <c r="H37" s="50">
        <f>+(40700+54400+33400+42500+64900+29300)/100000</f>
        <v>2.652</v>
      </c>
      <c r="I37" s="50">
        <f>+(73200+15800+40300+26555+56606+22050)/100000</f>
        <v>2.34511</v>
      </c>
      <c r="J37" s="50">
        <f>+(37300+41500+48600+36700+22600+27500+39400+133600)/100000</f>
        <v>3.872</v>
      </c>
      <c r="K37" s="76">
        <f>SUM(G37:J37)</f>
        <v>11.91611</v>
      </c>
      <c r="L37" s="50">
        <f>+((C37+D37+E37+F37)-(G37+H37+I37+J37))*-1</f>
        <v>-1.58389</v>
      </c>
      <c r="M37" s="91">
        <f>+K37/B37</f>
        <v>0.882674814814815</v>
      </c>
      <c r="N37" s="92"/>
      <c r="O37" s="93"/>
    </row>
    <row r="38" spans="1:15">
      <c r="A38" s="51" t="s">
        <v>293</v>
      </c>
      <c r="B38" s="48">
        <f t="shared" ref="B38:B39" si="10">SUM(C38:F38)</f>
        <v>19</v>
      </c>
      <c r="C38" s="35">
        <v>4.5</v>
      </c>
      <c r="D38" s="34">
        <v>4.5</v>
      </c>
      <c r="E38" s="34">
        <v>5</v>
      </c>
      <c r="F38" s="34">
        <v>5</v>
      </c>
      <c r="G38" s="49">
        <f>+(26700+79200+54500+43915+54050+4300)/100000</f>
        <v>2.62665</v>
      </c>
      <c r="H38" s="50">
        <f>+(75400+35050+37500+24370+62300+29100)/100000</f>
        <v>2.6372</v>
      </c>
      <c r="I38" s="50">
        <f>+(56500+88800+50800+60050+140700+75600)/100000</f>
        <v>4.7245</v>
      </c>
      <c r="J38" s="50">
        <f>+(66550+79800+141050+65250+61750+51600+63510+70893)/100000</f>
        <v>6.00403</v>
      </c>
      <c r="K38" s="76">
        <f t="shared" ref="K38:K39" si="11">SUM(G38:J38)</f>
        <v>15.99238</v>
      </c>
      <c r="L38" s="50">
        <f>+((C38+D38+E38+F38)-(G38+H38+I38+J38))*-1</f>
        <v>-3.00762</v>
      </c>
      <c r="M38" s="91">
        <f>+K38/B38</f>
        <v>0.841704210526316</v>
      </c>
      <c r="N38" s="92"/>
      <c r="O38" s="93"/>
    </row>
    <row r="39" spans="1:15">
      <c r="A39" s="51" t="s">
        <v>261</v>
      </c>
      <c r="B39" s="48">
        <f>SUM(C39:F39)</f>
        <v>13</v>
      </c>
      <c r="C39" s="35">
        <v>3</v>
      </c>
      <c r="D39" s="34">
        <v>3.5</v>
      </c>
      <c r="E39" s="34">
        <v>3</v>
      </c>
      <c r="F39" s="34">
        <v>3.5</v>
      </c>
      <c r="G39" s="49">
        <f>+(68500+51900+46850+74820+33800+46250)/100000</f>
        <v>3.2212</v>
      </c>
      <c r="H39" s="50">
        <f>+(85450+38100+43750+41870+35550+47100)/100000</f>
        <v>2.9182</v>
      </c>
      <c r="I39" s="50">
        <f>+(94300+27800+74300+43550+32750+29600)/100000</f>
        <v>3.023</v>
      </c>
      <c r="J39" s="50">
        <f>+(39500+22450+19100+47900+59300+24000+943300+37150)/100000</f>
        <v>11.927</v>
      </c>
      <c r="K39" s="76">
        <f>SUM(G39:J39)</f>
        <v>21.0894</v>
      </c>
      <c r="L39" s="50">
        <f>+((C39+D39+E39+F39)-(G39+H39+I39+J39))*-1</f>
        <v>8.0894</v>
      </c>
      <c r="M39" s="91">
        <f>+K39/B39</f>
        <v>1.62226153846154</v>
      </c>
      <c r="N39" s="92"/>
      <c r="O39" s="93"/>
    </row>
    <row r="40" spans="1:15">
      <c r="A40" s="51" t="s">
        <v>263</v>
      </c>
      <c r="B40" s="48">
        <f>SUM(C40:F40)</f>
        <v>9.5</v>
      </c>
      <c r="C40" s="35">
        <v>2</v>
      </c>
      <c r="D40" s="52">
        <v>2.5</v>
      </c>
      <c r="E40" s="52">
        <v>2</v>
      </c>
      <c r="F40" s="52">
        <v>3</v>
      </c>
      <c r="G40" s="49">
        <f>+(27600+29000+39100+36850+38132+34100)/100000</f>
        <v>2.04782</v>
      </c>
      <c r="H40" s="50">
        <f>+(30200+55500+43560+38200+59450+29700)/100000</f>
        <v>2.5661</v>
      </c>
      <c r="I40" s="50">
        <f>+(29900+46000+25950+38000+37000+39100)/100000</f>
        <v>2.1595</v>
      </c>
      <c r="J40" s="50">
        <f>+(37200+56500+46210+44750+32300+30600+42650+26100)/100000</f>
        <v>3.1631</v>
      </c>
      <c r="K40" s="76">
        <f>SUM(G40:J40)</f>
        <v>9.93652</v>
      </c>
      <c r="L40" s="50">
        <f>+((C40+D40+E40+F40)-(G40+H40+I40+J40))*-1</f>
        <v>0.43652</v>
      </c>
      <c r="M40" s="91">
        <f>+K40/B40</f>
        <v>1.04594947368421</v>
      </c>
      <c r="N40" s="94"/>
      <c r="O40" s="95"/>
    </row>
    <row r="41" spans="1:15">
      <c r="A41" s="51" t="s">
        <v>271</v>
      </c>
      <c r="B41" s="48">
        <f>SUM(C41:F41)</f>
        <v>10</v>
      </c>
      <c r="C41" s="35">
        <v>2.5</v>
      </c>
      <c r="D41" s="52">
        <v>2</v>
      </c>
      <c r="E41" s="52">
        <v>2.5</v>
      </c>
      <c r="F41" s="52">
        <v>3</v>
      </c>
      <c r="G41" s="49">
        <f>+(18400+5550+30200+94950+67900+16000)/100000</f>
        <v>2.33</v>
      </c>
      <c r="H41" s="50">
        <f>+(7700+22950+20350+14500+6900+6600)/100000</f>
        <v>0.79</v>
      </c>
      <c r="I41" s="50">
        <f>+(6700+55100+18050+6650+52100+19800)/100000</f>
        <v>1.584</v>
      </c>
      <c r="J41" s="50">
        <f>+(7700+110600+7700+22250+25080+6650+4700+12150)/100000</f>
        <v>1.9683</v>
      </c>
      <c r="K41" s="76">
        <f>SUM(G41:J41)</f>
        <v>6.6723</v>
      </c>
      <c r="L41" s="50">
        <f>+((C41+D41+E41+F41)-(G41+H41+I41+J41))*-1</f>
        <v>-3.3277</v>
      </c>
      <c r="M41" s="91">
        <f>+K41/B41</f>
        <v>0.66723</v>
      </c>
      <c r="N41" s="92"/>
      <c r="O41" s="93"/>
    </row>
    <row r="42" spans="1:15">
      <c r="A42" s="51" t="s">
        <v>262</v>
      </c>
      <c r="B42" s="48">
        <f t="shared" ref="B42:B51" si="12">SUM(C42:F42)</f>
        <v>15.5</v>
      </c>
      <c r="C42" s="35">
        <v>3.5</v>
      </c>
      <c r="D42" s="52">
        <v>4</v>
      </c>
      <c r="E42" s="52">
        <v>3.5</v>
      </c>
      <c r="F42" s="52">
        <v>4.5</v>
      </c>
      <c r="G42" s="49">
        <f>+(39200+58900+31400+48500+27800+25300)/100000</f>
        <v>2.311</v>
      </c>
      <c r="H42" s="50">
        <f>+(33600+60550+56500+24150+44100+41700)/100000</f>
        <v>2.606</v>
      </c>
      <c r="I42" s="50">
        <f>+(56800+69175+24160+38200+244386+56500)/100000</f>
        <v>4.89221</v>
      </c>
      <c r="J42" s="50">
        <f>+(40700+45550+39400+63200+52000+43690+40500+89040)/100000</f>
        <v>4.1408</v>
      </c>
      <c r="K42" s="76">
        <f>SUM(G42:J42)</f>
        <v>13.95001</v>
      </c>
      <c r="L42" s="50">
        <f>+((C42+D42+E42+F42)-(G42+H42+I42+J42))*-1</f>
        <v>-1.54999</v>
      </c>
      <c r="M42" s="91">
        <f>+K42/B42</f>
        <v>0.90000064516129</v>
      </c>
      <c r="N42" s="92"/>
      <c r="O42" s="93"/>
    </row>
    <row r="43" spans="1:15">
      <c r="A43" s="51" t="s">
        <v>382</v>
      </c>
      <c r="B43" s="48">
        <f>SUM(C43:F43)</f>
        <v>9.5</v>
      </c>
      <c r="C43" s="35">
        <v>2.5</v>
      </c>
      <c r="D43" s="52">
        <v>2</v>
      </c>
      <c r="E43" s="52">
        <v>2</v>
      </c>
      <c r="F43" s="52">
        <v>3</v>
      </c>
      <c r="G43" s="49">
        <f>+(30300+44900+25900+59800+28300+26100)/100000</f>
        <v>2.153</v>
      </c>
      <c r="H43" s="50">
        <f>+(19300+48800+35800+26200+28400)/100000</f>
        <v>1.585</v>
      </c>
      <c r="I43" s="50">
        <f>+(55346+44440+27400+26660+32900+92580)/100000</f>
        <v>2.79326</v>
      </c>
      <c r="J43" s="50">
        <f>+(17800+38300+49600+34100+28600+30900+40300+39980)/100000</f>
        <v>2.7958</v>
      </c>
      <c r="K43" s="76">
        <f>SUM(G43:J43)</f>
        <v>9.32706</v>
      </c>
      <c r="L43" s="50">
        <f>+((C43+D43+E43+F43)-(G43+H43+I43+J43))*-1</f>
        <v>-0.172940000000001</v>
      </c>
      <c r="M43" s="91">
        <f>+K43/B43</f>
        <v>0.981795789473684</v>
      </c>
      <c r="N43" s="92"/>
      <c r="O43" s="93"/>
    </row>
    <row r="44" spans="1:15">
      <c r="A44" s="51" t="s">
        <v>362</v>
      </c>
      <c r="B44" s="48">
        <f>SUM(C44:F44)</f>
        <v>6.5</v>
      </c>
      <c r="C44" s="35">
        <v>2</v>
      </c>
      <c r="D44" s="52">
        <v>1.5</v>
      </c>
      <c r="E44" s="52">
        <v>1.5</v>
      </c>
      <c r="F44" s="52">
        <v>1.5</v>
      </c>
      <c r="G44" s="49">
        <f>+(22700+124850+9500)/100000</f>
        <v>1.5705</v>
      </c>
      <c r="H44" s="50">
        <f>+(40550+10200+4100)/100000</f>
        <v>0.5485</v>
      </c>
      <c r="I44" s="50">
        <f>+(100+6950+34650+22250)/100000</f>
        <v>0.6395</v>
      </c>
      <c r="J44" s="50">
        <f>+(61000+117600+4400+9100+9100+30850+100)/100000</f>
        <v>2.3215</v>
      </c>
      <c r="K44" s="76">
        <f>SUM(G44:J44)</f>
        <v>5.08</v>
      </c>
      <c r="L44" s="50">
        <f>+((C44+D44+E44+F44)-(G44+H44+I44+J44))*-1</f>
        <v>-1.42</v>
      </c>
      <c r="M44" s="91">
        <f>+K44/B44</f>
        <v>0.781538461538462</v>
      </c>
      <c r="N44" s="92"/>
      <c r="O44" s="93"/>
    </row>
    <row r="45" spans="1:15">
      <c r="A45" s="51" t="s">
        <v>411</v>
      </c>
      <c r="B45" s="48">
        <f>SUM(C45:F45)</f>
        <v>1</v>
      </c>
      <c r="C45" s="35">
        <v>0.25</v>
      </c>
      <c r="D45" s="52">
        <v>0.25</v>
      </c>
      <c r="E45" s="52">
        <v>0.25</v>
      </c>
      <c r="F45" s="52">
        <v>0.25</v>
      </c>
      <c r="G45" s="49">
        <f>+(3000+42300)/100000</f>
        <v>0.453</v>
      </c>
      <c r="H45" s="50">
        <f>+(3000+1000)/100000</f>
        <v>0.04</v>
      </c>
      <c r="I45" s="50">
        <f>+(22000+2000+8800)/100000</f>
        <v>0.328</v>
      </c>
      <c r="J45" s="50">
        <f>+(13900+2500)/100000</f>
        <v>0.164</v>
      </c>
      <c r="K45" s="76">
        <f>SUM(G45:J45)</f>
        <v>0.985</v>
      </c>
      <c r="L45" s="50">
        <f>+((C45+D45+E45+F45)-(G45+H45+I45+J45))*-1</f>
        <v>-0.015</v>
      </c>
      <c r="M45" s="91">
        <f>+K45/B45</f>
        <v>0.985</v>
      </c>
      <c r="N45" s="92"/>
      <c r="O45" s="93"/>
    </row>
    <row r="46" spans="1:15">
      <c r="A46" s="51" t="s">
        <v>412</v>
      </c>
      <c r="B46" s="48">
        <f>SUM(C46:F46)</f>
        <v>0.5</v>
      </c>
      <c r="C46" s="35">
        <v>0.1</v>
      </c>
      <c r="D46" s="52">
        <v>0.1</v>
      </c>
      <c r="E46" s="52">
        <v>0.2</v>
      </c>
      <c r="F46" s="52">
        <v>0.1</v>
      </c>
      <c r="G46" s="49">
        <f>+(2600+12400+3200+3200+2800+2600)/100000</f>
        <v>0.268</v>
      </c>
      <c r="H46" s="50">
        <f>+(5200+12800+7000+2400+4000)/100000</f>
        <v>0.314</v>
      </c>
      <c r="I46" s="50">
        <f>+(3200+11700+4590+2240+4840+3340)/100000</f>
        <v>0.2991</v>
      </c>
      <c r="J46" s="50">
        <f>+(3640+11400+4140+3840+11300+3600+6500+10900)/100000</f>
        <v>0.5532</v>
      </c>
      <c r="K46" s="76">
        <f>SUM(G46:J46)</f>
        <v>1.4343</v>
      </c>
      <c r="L46" s="50">
        <f>+((C46+D46+E46+F46)-(G46+H46+I46+J46))*-1</f>
        <v>0.9343</v>
      </c>
      <c r="M46" s="91">
        <f>+K46/B46</f>
        <v>2.8686</v>
      </c>
      <c r="N46" s="92"/>
      <c r="O46" s="93"/>
    </row>
    <row r="47" spans="1:15">
      <c r="A47" s="51" t="s">
        <v>383</v>
      </c>
      <c r="B47" s="48">
        <f>SUM(C47:F47)</f>
        <v>4</v>
      </c>
      <c r="C47" s="35">
        <v>1</v>
      </c>
      <c r="D47" s="52">
        <v>1</v>
      </c>
      <c r="E47" s="52">
        <v>1</v>
      </c>
      <c r="F47" s="52">
        <v>1</v>
      </c>
      <c r="G47" s="49">
        <f>+(4300+7600+7200+7700+7300+21600)/100000</f>
        <v>0.557</v>
      </c>
      <c r="H47" s="50">
        <f>+(20060+19600+28100+17480+8100+28900)/100000</f>
        <v>1.2224</v>
      </c>
      <c r="I47" s="50">
        <f>+(22100+19200+18600+16100+22600+15900)/100000</f>
        <v>1.145</v>
      </c>
      <c r="J47" s="50">
        <f>+(14000+17445+13100+25100+11700+19900+15800+21600)/100000</f>
        <v>1.38645</v>
      </c>
      <c r="K47" s="76">
        <f>SUM(G47:J47)</f>
        <v>4.31085</v>
      </c>
      <c r="L47" s="50">
        <f>+((C47+D47+E47+F47)-(G47+H47+I47+J47))*-1</f>
        <v>0.31085</v>
      </c>
      <c r="M47" s="91">
        <f>+K47/B47</f>
        <v>1.0777125</v>
      </c>
      <c r="N47" s="92"/>
      <c r="O47" s="93"/>
    </row>
    <row r="48" spans="1:15">
      <c r="A48" s="53" t="s">
        <v>351</v>
      </c>
      <c r="B48" s="48">
        <f>SUM(C48:F48)</f>
        <v>8</v>
      </c>
      <c r="C48" s="35">
        <v>1.5</v>
      </c>
      <c r="D48" s="52">
        <v>2</v>
      </c>
      <c r="E48" s="52">
        <v>2</v>
      </c>
      <c r="F48" s="52">
        <v>2.5</v>
      </c>
      <c r="G48" s="49">
        <f>+(2500+5500+1000+6850+15300+6000)/100000</f>
        <v>0.3715</v>
      </c>
      <c r="H48" s="50">
        <f>+(16800+15700+6500+6000+23500+3000)/100000</f>
        <v>0.715</v>
      </c>
      <c r="I48" s="50">
        <f>+(8400+25300+5500+5400+9200+6600)/100000</f>
        <v>0.604</v>
      </c>
      <c r="J48" s="50">
        <f>+(50600+232500+22100+2000+11300+9400+171850)/100000</f>
        <v>4.9975</v>
      </c>
      <c r="K48" s="76">
        <f>SUM(G48:J48)</f>
        <v>6.688</v>
      </c>
      <c r="L48" s="50">
        <f>+((C48+D48+E48+F48)-(G48+H48+I48+J48))*-1</f>
        <v>-1.312</v>
      </c>
      <c r="M48" s="91">
        <f>+K48/B48</f>
        <v>0.836</v>
      </c>
      <c r="N48" s="92"/>
      <c r="O48" s="93"/>
    </row>
    <row r="49" spans="1:15">
      <c r="A49" s="53" t="s">
        <v>35</v>
      </c>
      <c r="B49" s="48">
        <f>SUM(C49:F49)</f>
        <v>0.75</v>
      </c>
      <c r="C49" s="35">
        <v>0</v>
      </c>
      <c r="D49" s="52">
        <v>0.5</v>
      </c>
      <c r="E49" s="52">
        <v>0</v>
      </c>
      <c r="F49" s="52">
        <v>0.25</v>
      </c>
      <c r="G49" s="49">
        <f>+(4400)/100000</f>
        <v>0.044</v>
      </c>
      <c r="H49" s="50"/>
      <c r="I49" s="50"/>
      <c r="J49" s="50">
        <f>+(52800)/100000</f>
        <v>0.528</v>
      </c>
      <c r="K49" s="76">
        <f>SUM(G49:J49)</f>
        <v>0.572</v>
      </c>
      <c r="L49" s="50">
        <f>+((C49+D49+E49+F49)-(G49+H49+I49+J49))*-1</f>
        <v>-0.178</v>
      </c>
      <c r="M49" s="91">
        <f>+K49/B49</f>
        <v>0.762666666666667</v>
      </c>
      <c r="N49" s="92"/>
      <c r="O49" s="93"/>
    </row>
    <row r="50" spans="1:15">
      <c r="A50" s="53" t="s">
        <v>38</v>
      </c>
      <c r="B50" s="48">
        <f>SUM(C50:F50)</f>
        <v>25</v>
      </c>
      <c r="C50" s="35">
        <v>6</v>
      </c>
      <c r="D50" s="52">
        <v>5.5</v>
      </c>
      <c r="E50" s="52">
        <v>7</v>
      </c>
      <c r="F50" s="52">
        <v>6.5</v>
      </c>
      <c r="G50" s="49">
        <f>+(46400+71500+8800+15750+4400+22160+108000+58600+6500)/100000</f>
        <v>3.4211</v>
      </c>
      <c r="H50" s="50">
        <f>+(63740+144000+60540+10000+2500+34600+18200+51100+12400+44000+24150+13200)/100000</f>
        <v>4.7843</v>
      </c>
      <c r="I50" s="50">
        <f>+(17600+2000+61375+1370+35+8800+73770+16464+71904)/100000</f>
        <v>2.53318</v>
      </c>
      <c r="J50" s="50">
        <f>+(40000+129400+5000+27700+22000+90500+33600+446200+32260+26810+22000+10000+905375+140200+254000+30420+2500+12500)/100000</f>
        <v>22.30465</v>
      </c>
      <c r="K50" s="76">
        <f>SUM(G50:J50)</f>
        <v>33.04323</v>
      </c>
      <c r="L50" s="50">
        <f>+((C50+D50+E50+F50)-(G50+H50+I50+J50))*-1</f>
        <v>8.04323</v>
      </c>
      <c r="M50" s="91">
        <f>+K50/B50</f>
        <v>1.3217292</v>
      </c>
      <c r="N50" s="92"/>
      <c r="O50" s="93"/>
    </row>
    <row r="51" spans="1:15">
      <c r="A51" s="54" t="s">
        <v>44</v>
      </c>
      <c r="B51" s="48">
        <f>SUM(C51:F51)</f>
        <v>170</v>
      </c>
      <c r="C51" s="35">
        <f t="shared" ref="C51:J51" si="13">SUM(C34:C50)</f>
        <v>41.85</v>
      </c>
      <c r="D51" s="48">
        <f>SUM(D34:D50)</f>
        <v>41.1</v>
      </c>
      <c r="E51" s="48">
        <f>SUM(E34:E50)</f>
        <v>39.95</v>
      </c>
      <c r="F51" s="48">
        <f>SUM(F34:F50)</f>
        <v>47.1</v>
      </c>
      <c r="G51" s="49">
        <f>SUM(G34:G50)</f>
        <v>28.64367</v>
      </c>
      <c r="H51" s="50">
        <f>SUM(H34:H50)</f>
        <v>31.2434</v>
      </c>
      <c r="I51" s="50">
        <f>SUM(I34:I50)</f>
        <v>34.85601</v>
      </c>
      <c r="J51" s="50">
        <f>SUM(J34:J50)</f>
        <v>76.07898</v>
      </c>
      <c r="K51" s="76">
        <f>SUM(G51:J51)</f>
        <v>170.82206</v>
      </c>
      <c r="L51" s="50">
        <f>+((C51+D51+E51+F51)-(G51+H51+I51+J51))*-1</f>
        <v>0.822059999999993</v>
      </c>
      <c r="M51" s="91">
        <f>+K51/B51</f>
        <v>1.00483564705882</v>
      </c>
      <c r="N51" s="92"/>
      <c r="O51" s="93"/>
    </row>
    <row r="52" spans="1:15">
      <c r="A52" s="55"/>
      <c r="B52" s="56"/>
      <c r="C52" s="57"/>
      <c r="N52" s="94"/>
      <c r="O52" s="95"/>
    </row>
    <row r="53" spans="14:15">
      <c r="N53" s="92"/>
      <c r="O53" s="93"/>
    </row>
    <row r="54" spans="14:15">
      <c r="N54" s="92"/>
      <c r="O54" s="93"/>
    </row>
    <row r="55" spans="2:15">
      <c r="B55" s="1"/>
      <c r="N55" s="92"/>
      <c r="O55" s="93"/>
    </row>
    <row r="56" spans="2:15">
      <c r="B56" s="1"/>
      <c r="N56" s="92"/>
      <c r="O56" s="93"/>
    </row>
    <row r="57" spans="2:15">
      <c r="B57" s="1"/>
      <c r="N57" s="92"/>
      <c r="O57" s="93"/>
    </row>
    <row r="58" spans="2:15">
      <c r="B58" s="1"/>
      <c r="N58" s="92"/>
      <c r="O58" s="93"/>
    </row>
    <row r="59" spans="2:15">
      <c r="B59" s="1"/>
      <c r="N59" s="92"/>
      <c r="O59" s="93"/>
    </row>
    <row r="60" spans="2:15">
      <c r="B60" s="1"/>
      <c r="N60" s="92"/>
      <c r="O60" s="93"/>
    </row>
    <row r="61" spans="2:15">
      <c r="B61" s="1"/>
      <c r="N61" s="92"/>
      <c r="O61" s="93"/>
    </row>
    <row r="62" spans="2:15">
      <c r="B62" s="1"/>
      <c r="N62" s="94"/>
      <c r="O62" s="95"/>
    </row>
    <row r="63" spans="2:15">
      <c r="B63" s="1"/>
      <c r="N63" s="92"/>
      <c r="O63" s="93"/>
    </row>
    <row r="64" spans="2:15">
      <c r="B64" s="1"/>
      <c r="N64" s="92"/>
      <c r="O64" s="93"/>
    </row>
    <row r="65" spans="2:15">
      <c r="B65" s="1"/>
      <c r="N65" s="92"/>
      <c r="O65" s="93"/>
    </row>
    <row r="66" spans="2:15">
      <c r="B66" s="1"/>
      <c r="N66" s="92"/>
      <c r="O66" s="93"/>
    </row>
    <row r="67" spans="2:15">
      <c r="B67" s="1"/>
      <c r="N67" s="92"/>
      <c r="O67" s="93"/>
    </row>
    <row r="68" spans="2:15">
      <c r="B68" s="1"/>
      <c r="N68" s="92"/>
      <c r="O68" s="93"/>
    </row>
    <row r="69" spans="2:15">
      <c r="B69" s="1"/>
      <c r="N69" s="92"/>
      <c r="O69" s="93"/>
    </row>
    <row r="70" spans="2:15">
      <c r="B70" s="1"/>
      <c r="N70" s="94"/>
      <c r="O70" s="95"/>
    </row>
    <row r="71" spans="2:15">
      <c r="B71" s="1"/>
      <c r="N71" s="92"/>
      <c r="O71" s="93"/>
    </row>
    <row r="72" spans="2:15">
      <c r="B72" s="1"/>
      <c r="N72" s="92"/>
      <c r="O72" s="93"/>
    </row>
    <row r="73" spans="2:15">
      <c r="B73" s="1"/>
      <c r="N73" s="92"/>
      <c r="O73" s="93"/>
    </row>
    <row r="74" spans="2:15">
      <c r="B74" s="1"/>
      <c r="N74" s="92"/>
      <c r="O74" s="93"/>
    </row>
    <row r="75" spans="2:15">
      <c r="B75" s="1"/>
      <c r="N75" s="92"/>
      <c r="O75" s="93"/>
    </row>
    <row r="76" spans="2:15">
      <c r="B76" s="1"/>
      <c r="N76" s="92"/>
      <c r="O76" s="93"/>
    </row>
    <row r="77" spans="2:15">
      <c r="B77" s="1"/>
      <c r="N77" s="92"/>
      <c r="O77" s="93"/>
    </row>
    <row r="78" spans="2:15">
      <c r="B78" s="1"/>
      <c r="N78" s="92"/>
      <c r="O78" s="96"/>
    </row>
  </sheetData>
  <mergeCells count="5">
    <mergeCell ref="D5:F5"/>
    <mergeCell ref="C6:F6"/>
    <mergeCell ref="G6:J6"/>
    <mergeCell ref="C32:F32"/>
    <mergeCell ref="G32:J32"/>
  </mergeCells>
  <pageMargins left="0.699305555555556" right="0.699305555555556" top="0.75" bottom="0.75" header="0.3" footer="0.3"/>
  <pageSetup paperSize="9" orientation="landscape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P80"/>
  <sheetViews>
    <sheetView tabSelected="1" topLeftCell="A43" workbookViewId="0">
      <selection activeCell="L9" sqref="L9"/>
    </sheetView>
  </sheetViews>
  <sheetFormatPr defaultColWidth="9" defaultRowHeight="15"/>
  <cols>
    <col min="1" max="1" width="17.4285714285714" style="1" customWidth="1"/>
    <col min="2" max="2" width="9" style="2" customWidth="1"/>
    <col min="3" max="3" width="8.42857142857143" style="1" customWidth="1"/>
    <col min="4" max="4" width="8.57142857142857" style="1" customWidth="1"/>
    <col min="5" max="5" width="8.28571428571429" style="1" customWidth="1"/>
    <col min="6" max="6" width="8.71428571428571" style="1" customWidth="1"/>
    <col min="7" max="7" width="8.28571428571429" style="1" customWidth="1"/>
    <col min="8" max="8" width="8.85714285714286" style="1" customWidth="1"/>
    <col min="9" max="9" width="10.1428571428571" style="1" customWidth="1"/>
    <col min="10" max="10" width="10" style="1" customWidth="1"/>
    <col min="11" max="11" width="10.7142857142857" style="1" customWidth="1"/>
    <col min="12" max="12" width="11.4285714285714" style="1" customWidth="1"/>
    <col min="13" max="13" width="7.85714285714286" style="1" customWidth="1"/>
    <col min="14" max="14" width="10.5714285714286" style="1" customWidth="1"/>
    <col min="15" max="15" width="9.14285714285714" style="1"/>
    <col min="16" max="16" width="16.7142857142857" style="1" customWidth="1"/>
    <col min="17" max="16384" width="9.14285714285714" style="1"/>
  </cols>
  <sheetData>
    <row r="1" spans="1:13">
      <c r="A1" s="3">
        <v>41886</v>
      </c>
      <c r="B1" s="4" t="s">
        <v>413</v>
      </c>
      <c r="C1" s="5"/>
      <c r="D1" s="5"/>
      <c r="E1" s="5"/>
      <c r="F1" s="5"/>
      <c r="G1" s="5"/>
      <c r="H1" s="5"/>
      <c r="I1" s="5"/>
      <c r="J1" s="5"/>
      <c r="K1" s="5"/>
      <c r="L1" s="5"/>
      <c r="M1" s="58"/>
    </row>
    <row r="2" spans="1:14">
      <c r="A2" s="6" t="s">
        <v>386</v>
      </c>
      <c r="B2" s="7">
        <f>+K33</f>
        <v>22</v>
      </c>
      <c r="C2" s="8"/>
      <c r="D2" s="8"/>
      <c r="E2" s="8"/>
      <c r="F2" s="8"/>
      <c r="G2" s="9"/>
      <c r="H2" s="10"/>
      <c r="I2" s="59"/>
      <c r="J2" s="10"/>
      <c r="K2" s="10"/>
      <c r="L2" s="10"/>
      <c r="M2" s="8"/>
      <c r="N2" s="60"/>
    </row>
    <row r="3" spans="1:14">
      <c r="A3" s="6" t="s">
        <v>366</v>
      </c>
      <c r="B3" s="7">
        <f>+L33</f>
        <v>31</v>
      </c>
      <c r="C3" s="8"/>
      <c r="D3" s="8"/>
      <c r="E3" s="8"/>
      <c r="F3" s="8"/>
      <c r="G3" s="9"/>
      <c r="H3" s="10"/>
      <c r="I3" s="10"/>
      <c r="J3" s="10"/>
      <c r="K3" s="10"/>
      <c r="L3" s="61"/>
      <c r="M3" s="62"/>
      <c r="N3" s="60"/>
    </row>
    <row r="4" spans="1:14">
      <c r="A4" s="6" t="s">
        <v>414</v>
      </c>
      <c r="B4" s="11"/>
      <c r="C4" s="12"/>
      <c r="D4" s="13" t="s">
        <v>5</v>
      </c>
      <c r="E4" s="13">
        <v>3.5</v>
      </c>
      <c r="F4" s="12"/>
      <c r="G4" s="14"/>
      <c r="H4" s="15"/>
      <c r="I4" s="62" t="s">
        <v>7</v>
      </c>
      <c r="J4" s="13">
        <f>+K53</f>
        <v>28.95182</v>
      </c>
      <c r="K4" s="12" t="s">
        <v>8</v>
      </c>
      <c r="L4" s="12" t="s">
        <v>415</v>
      </c>
      <c r="M4" s="12"/>
      <c r="N4" s="60"/>
    </row>
    <row r="5" spans="1:14">
      <c r="A5" s="16" t="s">
        <v>10</v>
      </c>
      <c r="B5" s="17" t="s">
        <v>416</v>
      </c>
      <c r="C5" s="18" t="s">
        <v>104</v>
      </c>
      <c r="D5" s="19">
        <v>2989375</v>
      </c>
      <c r="E5" s="19"/>
      <c r="F5" s="19"/>
      <c r="G5" s="20"/>
      <c r="H5" s="21"/>
      <c r="I5" s="62"/>
      <c r="J5" s="62"/>
      <c r="K5" s="62"/>
      <c r="L5" s="62"/>
      <c r="M5" s="62"/>
      <c r="N5" s="60"/>
    </row>
    <row r="6" spans="1:14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64"/>
      <c r="N6" s="60"/>
    </row>
    <row r="7" ht="38.25" spans="1:16">
      <c r="A7" s="25" t="s">
        <v>16</v>
      </c>
      <c r="B7" s="25" t="s">
        <v>317</v>
      </c>
      <c r="C7" s="25" t="s">
        <v>18</v>
      </c>
      <c r="D7" s="25" t="s">
        <v>179</v>
      </c>
      <c r="E7" s="25" t="s">
        <v>180</v>
      </c>
      <c r="F7" s="25" t="s">
        <v>214</v>
      </c>
      <c r="G7" s="25" t="s">
        <v>18</v>
      </c>
      <c r="H7" s="25" t="s">
        <v>122</v>
      </c>
      <c r="I7" s="25" t="s">
        <v>182</v>
      </c>
      <c r="J7" s="25" t="s">
        <v>65</v>
      </c>
      <c r="K7" s="25" t="s">
        <v>386</v>
      </c>
      <c r="L7" s="65" t="s">
        <v>392</v>
      </c>
      <c r="M7" s="65" t="s">
        <v>393</v>
      </c>
      <c r="N7" s="66" t="s">
        <v>394</v>
      </c>
      <c r="O7" s="65" t="s">
        <v>395</v>
      </c>
      <c r="P7" s="67" t="s">
        <v>396</v>
      </c>
    </row>
    <row r="8" spans="1:16">
      <c r="A8" s="26" t="s">
        <v>371</v>
      </c>
      <c r="B8" s="25">
        <f t="shared" ref="B8:B33" si="0">SUM(C8:F8)</f>
        <v>3</v>
      </c>
      <c r="C8" s="27">
        <v>0</v>
      </c>
      <c r="D8" s="27">
        <v>1</v>
      </c>
      <c r="E8" s="27">
        <v>1</v>
      </c>
      <c r="F8" s="25">
        <v>1</v>
      </c>
      <c r="G8" s="28"/>
      <c r="H8" s="28"/>
      <c r="I8" s="28"/>
      <c r="J8" s="28"/>
      <c r="K8" s="28">
        <f t="shared" ref="K8:K33" si="1">SUM(G8:J8)</f>
        <v>0</v>
      </c>
      <c r="L8" s="28"/>
      <c r="M8" s="68"/>
      <c r="N8" s="69"/>
      <c r="O8" s="70">
        <f>+K8+M8</f>
        <v>0</v>
      </c>
      <c r="P8" s="71">
        <f>+N8+L8</f>
        <v>0</v>
      </c>
    </row>
    <row r="9" spans="1:16">
      <c r="A9" s="29" t="s">
        <v>325</v>
      </c>
      <c r="B9" s="25">
        <f>SUM(C9:F9)</f>
        <v>10</v>
      </c>
      <c r="C9" s="27">
        <v>2</v>
      </c>
      <c r="D9" s="27">
        <v>2</v>
      </c>
      <c r="E9" s="27">
        <v>3</v>
      </c>
      <c r="F9" s="25">
        <v>3</v>
      </c>
      <c r="G9" s="28">
        <v>3</v>
      </c>
      <c r="H9" s="28"/>
      <c r="I9" s="28"/>
      <c r="J9" s="28"/>
      <c r="K9" s="28">
        <f>SUM(G9:J9)</f>
        <v>3</v>
      </c>
      <c r="L9" s="28">
        <v>1.5</v>
      </c>
      <c r="M9" s="68">
        <v>4</v>
      </c>
      <c r="N9" s="69">
        <v>13.5</v>
      </c>
      <c r="O9" s="70">
        <f t="shared" ref="O9:O33" si="2">+K9+M9</f>
        <v>7</v>
      </c>
      <c r="P9" s="71">
        <f t="shared" ref="P9:P33" si="3">+N9+L9</f>
        <v>15</v>
      </c>
    </row>
    <row r="10" spans="1:16">
      <c r="A10" s="29" t="s">
        <v>397</v>
      </c>
      <c r="B10" s="25">
        <f>SUM(C10:F10)</f>
        <v>10</v>
      </c>
      <c r="C10" s="27">
        <v>2</v>
      </c>
      <c r="D10" s="27">
        <v>3</v>
      </c>
      <c r="E10" s="27">
        <v>3</v>
      </c>
      <c r="F10" s="25">
        <v>2</v>
      </c>
      <c r="G10" s="28"/>
      <c r="H10" s="28"/>
      <c r="I10" s="28"/>
      <c r="J10" s="28"/>
      <c r="K10" s="28">
        <f>SUM(G10:J10)</f>
        <v>0</v>
      </c>
      <c r="L10" s="28"/>
      <c r="M10" s="68"/>
      <c r="N10" s="69"/>
      <c r="O10" s="70">
        <f>+K10+M10</f>
        <v>0</v>
      </c>
      <c r="P10" s="71">
        <f>+N10+L10</f>
        <v>0</v>
      </c>
    </row>
    <row r="11" spans="1:16">
      <c r="A11" s="29" t="s">
        <v>398</v>
      </c>
      <c r="B11" s="25">
        <f>SUM(C11:F11)</f>
        <v>10</v>
      </c>
      <c r="C11" s="27">
        <v>2</v>
      </c>
      <c r="D11" s="27">
        <v>3</v>
      </c>
      <c r="E11" s="27">
        <v>3</v>
      </c>
      <c r="F11" s="25">
        <v>2</v>
      </c>
      <c r="G11" s="28"/>
      <c r="H11" s="28"/>
      <c r="I11" s="28"/>
      <c r="J11" s="28"/>
      <c r="K11" s="28">
        <f>SUM(G11:J11)</f>
        <v>0</v>
      </c>
      <c r="L11" s="28"/>
      <c r="M11" s="68"/>
      <c r="N11" s="69"/>
      <c r="O11" s="70">
        <f>+K11+M11</f>
        <v>0</v>
      </c>
      <c r="P11" s="71">
        <f>+N11+L11</f>
        <v>0</v>
      </c>
    </row>
    <row r="12" spans="1:16">
      <c r="A12" s="29" t="s">
        <v>372</v>
      </c>
      <c r="B12" s="25">
        <f>SUM(C12:F12)</f>
        <v>6</v>
      </c>
      <c r="C12" s="27">
        <v>2</v>
      </c>
      <c r="D12" s="27">
        <v>1</v>
      </c>
      <c r="E12" s="27">
        <v>2</v>
      </c>
      <c r="F12" s="25">
        <v>1</v>
      </c>
      <c r="G12" s="28">
        <v>4</v>
      </c>
      <c r="H12" s="28"/>
      <c r="I12" s="28"/>
      <c r="J12" s="28"/>
      <c r="K12" s="28">
        <f>SUM(G12:J12)</f>
        <v>4</v>
      </c>
      <c r="L12" s="28">
        <v>3</v>
      </c>
      <c r="M12" s="68"/>
      <c r="N12" s="69"/>
      <c r="O12" s="70">
        <f>+K12+M12</f>
        <v>4</v>
      </c>
      <c r="P12" s="71">
        <f>+N12+L12</f>
        <v>3</v>
      </c>
    </row>
    <row r="13" spans="1:16">
      <c r="A13" s="29" t="s">
        <v>417</v>
      </c>
      <c r="B13" s="25">
        <f>SUM(C13:F13)</f>
        <v>4</v>
      </c>
      <c r="C13" s="27">
        <v>0</v>
      </c>
      <c r="D13" s="27">
        <v>0</v>
      </c>
      <c r="E13" s="27">
        <v>2</v>
      </c>
      <c r="F13" s="25">
        <v>2</v>
      </c>
      <c r="G13" s="28"/>
      <c r="H13" s="28"/>
      <c r="I13" s="28"/>
      <c r="J13" s="28"/>
      <c r="K13" s="28"/>
      <c r="L13" s="28"/>
      <c r="M13" s="68"/>
      <c r="N13" s="69"/>
      <c r="O13" s="70"/>
      <c r="P13" s="71"/>
    </row>
    <row r="14" spans="1:16">
      <c r="A14" s="29" t="s">
        <v>305</v>
      </c>
      <c r="B14" s="25">
        <f>SUM(C14:F14)</f>
        <v>0</v>
      </c>
      <c r="C14" s="27">
        <v>0</v>
      </c>
      <c r="D14" s="27">
        <v>0</v>
      </c>
      <c r="E14" s="27">
        <v>0</v>
      </c>
      <c r="F14" s="25">
        <v>0</v>
      </c>
      <c r="G14" s="28">
        <v>1</v>
      </c>
      <c r="H14" s="28"/>
      <c r="I14" s="28"/>
      <c r="J14" s="28"/>
      <c r="K14" s="28">
        <f>SUM(G14:J14)</f>
        <v>1</v>
      </c>
      <c r="L14" s="28">
        <v>1</v>
      </c>
      <c r="M14" s="72">
        <v>3</v>
      </c>
      <c r="N14" s="69">
        <v>1.5</v>
      </c>
      <c r="O14" s="70">
        <f>+K14+M14</f>
        <v>4</v>
      </c>
      <c r="P14" s="71">
        <f>+N14+L14</f>
        <v>2.5</v>
      </c>
    </row>
    <row r="15" spans="1:16">
      <c r="A15" s="29" t="s">
        <v>373</v>
      </c>
      <c r="B15" s="25">
        <f>SUM(C15:F15)</f>
        <v>0</v>
      </c>
      <c r="C15" s="27">
        <v>0</v>
      </c>
      <c r="D15" s="27">
        <v>0</v>
      </c>
      <c r="E15" s="27">
        <v>0</v>
      </c>
      <c r="F15" s="25">
        <v>0</v>
      </c>
      <c r="G15" s="28">
        <v>1</v>
      </c>
      <c r="H15" s="28"/>
      <c r="I15" s="28"/>
      <c r="J15" s="28"/>
      <c r="K15" s="28">
        <f>SUM(G15:J15)</f>
        <v>1</v>
      </c>
      <c r="L15" s="28">
        <v>2</v>
      </c>
      <c r="M15" s="72"/>
      <c r="N15" s="69">
        <v>0.5</v>
      </c>
      <c r="O15" s="70">
        <f>+K15+M15</f>
        <v>1</v>
      </c>
      <c r="P15" s="71">
        <f>+N15+L15</f>
        <v>2.5</v>
      </c>
    </row>
    <row r="16" spans="1:16">
      <c r="A16" s="29" t="s">
        <v>263</v>
      </c>
      <c r="B16" s="25">
        <f>SUM(C16:F16)</f>
        <v>0</v>
      </c>
      <c r="C16" s="27">
        <v>0</v>
      </c>
      <c r="D16" s="27">
        <v>0</v>
      </c>
      <c r="E16" s="27">
        <v>0</v>
      </c>
      <c r="F16" s="25">
        <v>0</v>
      </c>
      <c r="G16" s="28"/>
      <c r="H16" s="28"/>
      <c r="I16" s="28"/>
      <c r="J16" s="28"/>
      <c r="K16" s="28">
        <f>SUM(G16:J16)</f>
        <v>0</v>
      </c>
      <c r="L16" s="28"/>
      <c r="M16" s="72"/>
      <c r="N16" s="69"/>
      <c r="O16" s="70">
        <f>+K16+M16</f>
        <v>0</v>
      </c>
      <c r="P16" s="71">
        <f>+N16+L16</f>
        <v>0</v>
      </c>
    </row>
    <row r="17" spans="1:16">
      <c r="A17" s="26" t="s">
        <v>374</v>
      </c>
      <c r="B17" s="25">
        <f>SUM(C17:F17)</f>
        <v>4</v>
      </c>
      <c r="C17" s="27">
        <v>1</v>
      </c>
      <c r="D17" s="27">
        <v>1</v>
      </c>
      <c r="E17" s="27">
        <v>1</v>
      </c>
      <c r="F17" s="27">
        <v>1</v>
      </c>
      <c r="G17" s="28"/>
      <c r="H17" s="28"/>
      <c r="I17" s="28"/>
      <c r="J17" s="28"/>
      <c r="K17" s="28">
        <f>SUM(G17:J17)</f>
        <v>0</v>
      </c>
      <c r="L17" s="28"/>
      <c r="M17" s="72"/>
      <c r="N17" s="69"/>
      <c r="O17" s="70">
        <f>+K17+M17</f>
        <v>0</v>
      </c>
      <c r="P17" s="71">
        <f>+N17+L17</f>
        <v>0</v>
      </c>
    </row>
    <row r="18" spans="1:16">
      <c r="A18" s="29" t="s">
        <v>375</v>
      </c>
      <c r="B18" s="25">
        <f>SUM(C18:F18)</f>
        <v>12</v>
      </c>
      <c r="C18" s="27">
        <v>3</v>
      </c>
      <c r="D18" s="27">
        <v>3</v>
      </c>
      <c r="E18" s="27">
        <v>3</v>
      </c>
      <c r="F18" s="27">
        <v>3</v>
      </c>
      <c r="G18" s="28">
        <v>1</v>
      </c>
      <c r="H18" s="28"/>
      <c r="I18" s="28"/>
      <c r="J18" s="28"/>
      <c r="K18" s="28">
        <f>SUM(G18:J18)</f>
        <v>1</v>
      </c>
      <c r="L18" s="28">
        <v>0.5</v>
      </c>
      <c r="M18" s="72">
        <v>2</v>
      </c>
      <c r="N18" s="69">
        <v>21</v>
      </c>
      <c r="O18" s="70">
        <f>+K18+M18</f>
        <v>3</v>
      </c>
      <c r="P18" s="71">
        <f>+N18+L18</f>
        <v>21.5</v>
      </c>
    </row>
    <row r="19" spans="1:16">
      <c r="A19" s="29" t="s">
        <v>350</v>
      </c>
      <c r="B19" s="25">
        <f>SUM(C19:F19)</f>
        <v>6</v>
      </c>
      <c r="C19" s="27">
        <v>0</v>
      </c>
      <c r="D19" s="27">
        <v>2</v>
      </c>
      <c r="E19" s="27">
        <v>2</v>
      </c>
      <c r="F19" s="27">
        <v>2</v>
      </c>
      <c r="G19" s="28"/>
      <c r="H19" s="28"/>
      <c r="I19" s="28"/>
      <c r="J19" s="28"/>
      <c r="K19" s="28">
        <f>SUM(G19:J19)</f>
        <v>0</v>
      </c>
      <c r="L19" s="28"/>
      <c r="M19" s="72"/>
      <c r="N19" s="69"/>
      <c r="O19" s="70">
        <f>+K19+M19</f>
        <v>0</v>
      </c>
      <c r="P19" s="71">
        <f>+N19+L19</f>
        <v>0</v>
      </c>
    </row>
    <row r="20" spans="1:16">
      <c r="A20" s="29" t="s">
        <v>376</v>
      </c>
      <c r="B20" s="25">
        <f>SUM(C20:F20)</f>
        <v>6</v>
      </c>
      <c r="C20" s="27">
        <v>1</v>
      </c>
      <c r="D20" s="27">
        <v>2</v>
      </c>
      <c r="E20" s="27">
        <v>2</v>
      </c>
      <c r="F20" s="27">
        <v>1</v>
      </c>
      <c r="G20" s="28"/>
      <c r="H20" s="28"/>
      <c r="I20" s="28"/>
      <c r="J20" s="28"/>
      <c r="K20" s="28">
        <f>SUM(G20:J20)</f>
        <v>0</v>
      </c>
      <c r="L20" s="28"/>
      <c r="M20" s="72"/>
      <c r="N20" s="69"/>
      <c r="O20" s="70">
        <f>+K20+M20</f>
        <v>0</v>
      </c>
      <c r="P20" s="71">
        <f>+N20+L20</f>
        <v>0</v>
      </c>
    </row>
    <row r="21" spans="1:16">
      <c r="A21" s="29" t="s">
        <v>377</v>
      </c>
      <c r="B21" s="25">
        <f>SUM(C21:F21)</f>
        <v>0</v>
      </c>
      <c r="C21" s="27">
        <v>0</v>
      </c>
      <c r="D21" s="27">
        <v>0</v>
      </c>
      <c r="E21" s="27">
        <v>0</v>
      </c>
      <c r="F21" s="27">
        <v>0</v>
      </c>
      <c r="G21" s="28"/>
      <c r="H21" s="28"/>
      <c r="I21" s="28"/>
      <c r="J21" s="28"/>
      <c r="K21" s="28">
        <f>SUM(G21:J21)</f>
        <v>0</v>
      </c>
      <c r="L21" s="28">
        <v>0</v>
      </c>
      <c r="M21" s="72">
        <v>1</v>
      </c>
      <c r="N21" s="69">
        <v>1</v>
      </c>
      <c r="O21" s="70">
        <f>+K21+M21</f>
        <v>1</v>
      </c>
      <c r="P21" s="71">
        <f>+N21+L21</f>
        <v>1</v>
      </c>
    </row>
    <row r="22" spans="1:16">
      <c r="A22" s="29" t="s">
        <v>406</v>
      </c>
      <c r="B22" s="25">
        <f>SUM(C22:F22)</f>
        <v>6</v>
      </c>
      <c r="C22" s="27">
        <v>1</v>
      </c>
      <c r="D22" s="27">
        <v>2</v>
      </c>
      <c r="E22" s="27">
        <v>2</v>
      </c>
      <c r="F22" s="27">
        <v>1</v>
      </c>
      <c r="G22" s="28"/>
      <c r="H22" s="28"/>
      <c r="I22" s="28"/>
      <c r="J22" s="28"/>
      <c r="K22" s="28">
        <f>SUM(G22:J22)</f>
        <v>0</v>
      </c>
      <c r="L22" s="28"/>
      <c r="M22" s="72"/>
      <c r="N22" s="69"/>
      <c r="O22" s="70">
        <f>+K22+M22</f>
        <v>0</v>
      </c>
      <c r="P22" s="71">
        <f>+N22+L22</f>
        <v>0</v>
      </c>
    </row>
    <row r="23" spans="1:16">
      <c r="A23" s="29" t="s">
        <v>418</v>
      </c>
      <c r="B23" s="25">
        <f>SUM(C23:F23)</f>
        <v>6</v>
      </c>
      <c r="C23" s="27">
        <v>1</v>
      </c>
      <c r="D23" s="27">
        <v>1</v>
      </c>
      <c r="E23" s="27">
        <v>2</v>
      </c>
      <c r="F23" s="27">
        <v>2</v>
      </c>
      <c r="G23" s="28"/>
      <c r="H23" s="28"/>
      <c r="I23" s="28"/>
      <c r="J23" s="28"/>
      <c r="K23" s="28"/>
      <c r="L23" s="28"/>
      <c r="M23" s="72"/>
      <c r="N23" s="69"/>
      <c r="O23" s="70"/>
      <c r="P23" s="71"/>
    </row>
    <row r="24" spans="1:16">
      <c r="A24" s="30" t="s">
        <v>378</v>
      </c>
      <c r="B24" s="25">
        <f>SUM(C24:F24)</f>
        <v>4</v>
      </c>
      <c r="C24" s="27">
        <v>1</v>
      </c>
      <c r="D24" s="27">
        <v>1</v>
      </c>
      <c r="E24" s="27">
        <v>1</v>
      </c>
      <c r="F24" s="27">
        <v>1</v>
      </c>
      <c r="G24" s="28"/>
      <c r="H24" s="28"/>
      <c r="I24" s="28"/>
      <c r="J24" s="28"/>
      <c r="K24" s="28">
        <f>SUM(G24:J24)</f>
        <v>0</v>
      </c>
      <c r="L24" s="28"/>
      <c r="M24" s="72"/>
      <c r="N24" s="69"/>
      <c r="O24" s="70">
        <f>+K24+M24</f>
        <v>0</v>
      </c>
      <c r="P24" s="71">
        <f>+N24+L24</f>
        <v>0</v>
      </c>
    </row>
    <row r="25" spans="1:16">
      <c r="A25" s="31" t="s">
        <v>379</v>
      </c>
      <c r="B25" s="25">
        <f>SUM(C25:F25)</f>
        <v>12</v>
      </c>
      <c r="C25" s="27">
        <v>3</v>
      </c>
      <c r="D25" s="27">
        <v>3</v>
      </c>
      <c r="E25" s="27">
        <v>3</v>
      </c>
      <c r="F25" s="27">
        <v>3</v>
      </c>
      <c r="G25" s="28">
        <v>3</v>
      </c>
      <c r="H25" s="28"/>
      <c r="I25" s="28"/>
      <c r="J25" s="28"/>
      <c r="K25" s="28">
        <f>SUM(G25:J25)</f>
        <v>3</v>
      </c>
      <c r="L25" s="28">
        <v>5.5</v>
      </c>
      <c r="M25" s="72">
        <v>3</v>
      </c>
      <c r="N25" s="69">
        <v>3</v>
      </c>
      <c r="O25" s="70">
        <f>+K25+M25</f>
        <v>6</v>
      </c>
      <c r="P25" s="71">
        <f>+N25+L25</f>
        <v>8.5</v>
      </c>
    </row>
    <row r="26" spans="1:16">
      <c r="A26" s="31" t="s">
        <v>407</v>
      </c>
      <c r="B26" s="25">
        <f>SUM(C26:F26)</f>
        <v>6</v>
      </c>
      <c r="C26" s="27">
        <v>1</v>
      </c>
      <c r="D26" s="27">
        <v>1</v>
      </c>
      <c r="E26" s="27">
        <v>2</v>
      </c>
      <c r="F26" s="27">
        <v>2</v>
      </c>
      <c r="G26" s="28"/>
      <c r="H26" s="28"/>
      <c r="I26" s="28"/>
      <c r="J26" s="28"/>
      <c r="K26" s="28">
        <f>SUM(G26:J26)</f>
        <v>0</v>
      </c>
      <c r="L26" s="28"/>
      <c r="M26" s="72"/>
      <c r="N26" s="69"/>
      <c r="O26" s="70">
        <f>+K26+M26</f>
        <v>0</v>
      </c>
      <c r="P26" s="71">
        <f>+N26+L26</f>
        <v>0</v>
      </c>
    </row>
    <row r="27" spans="1:16">
      <c r="A27" s="31" t="s">
        <v>408</v>
      </c>
      <c r="B27" s="25">
        <f>SUM(C27:F27)</f>
        <v>6</v>
      </c>
      <c r="C27" s="27">
        <v>1</v>
      </c>
      <c r="D27" s="27">
        <v>2</v>
      </c>
      <c r="E27" s="27">
        <v>2</v>
      </c>
      <c r="F27" s="27">
        <v>1</v>
      </c>
      <c r="G27" s="28">
        <v>2</v>
      </c>
      <c r="H27" s="28"/>
      <c r="I27" s="28"/>
      <c r="J27" s="28"/>
      <c r="K27" s="28">
        <f>SUM(G27:J27)</f>
        <v>2</v>
      </c>
      <c r="L27" s="28">
        <v>2</v>
      </c>
      <c r="M27" s="72"/>
      <c r="N27" s="69">
        <v>0</v>
      </c>
      <c r="O27" s="70">
        <f>+K27+M27</f>
        <v>2</v>
      </c>
      <c r="P27" s="71">
        <f>+N27+L27</f>
        <v>2</v>
      </c>
    </row>
    <row r="28" spans="1:16">
      <c r="A28" s="31" t="s">
        <v>409</v>
      </c>
      <c r="B28" s="25">
        <f>SUM(C28:F28)</f>
        <v>6</v>
      </c>
      <c r="C28" s="27">
        <v>1</v>
      </c>
      <c r="D28" s="27">
        <v>2</v>
      </c>
      <c r="E28" s="27">
        <v>2</v>
      </c>
      <c r="F28" s="27">
        <v>1</v>
      </c>
      <c r="G28" s="28">
        <v>1</v>
      </c>
      <c r="H28" s="28"/>
      <c r="I28" s="28"/>
      <c r="J28" s="28"/>
      <c r="K28" s="28">
        <f>SUM(G28:J28)</f>
        <v>1</v>
      </c>
      <c r="L28" s="28">
        <v>0.5</v>
      </c>
      <c r="M28" s="72"/>
      <c r="N28" s="69"/>
      <c r="O28" s="70">
        <f>+K28+M28</f>
        <v>1</v>
      </c>
      <c r="P28" s="71">
        <f>+N28+L28</f>
        <v>0.5</v>
      </c>
    </row>
    <row r="29" spans="1:16">
      <c r="A29" s="31" t="s">
        <v>410</v>
      </c>
      <c r="B29" s="25">
        <f>SUM(C29:F29)</f>
        <v>0</v>
      </c>
      <c r="C29" s="27"/>
      <c r="D29" s="27"/>
      <c r="E29" s="27"/>
      <c r="F29" s="27"/>
      <c r="G29" s="28"/>
      <c r="H29" s="28"/>
      <c r="I29" s="28"/>
      <c r="J29" s="28"/>
      <c r="K29" s="28">
        <f>SUM(G29:J29)</f>
        <v>0</v>
      </c>
      <c r="L29" s="28"/>
      <c r="M29" s="72"/>
      <c r="N29" s="69"/>
      <c r="O29" s="70">
        <f>+K29+M29</f>
        <v>0</v>
      </c>
      <c r="P29" s="71">
        <f>+N29+L29</f>
        <v>0</v>
      </c>
    </row>
    <row r="30" spans="1:16">
      <c r="A30" s="31" t="s">
        <v>331</v>
      </c>
      <c r="B30" s="25">
        <f>SUM(C30:F30)</f>
        <v>0</v>
      </c>
      <c r="C30" s="27"/>
      <c r="D30" s="27"/>
      <c r="E30" s="27"/>
      <c r="F30" s="27"/>
      <c r="G30" s="28"/>
      <c r="H30" s="28"/>
      <c r="I30" s="28"/>
      <c r="J30" s="28"/>
      <c r="K30" s="28">
        <f>SUM(G30:J30)</f>
        <v>0</v>
      </c>
      <c r="L30" s="28"/>
      <c r="M30" s="72"/>
      <c r="N30" s="69"/>
      <c r="O30" s="70">
        <f>+K30+M30</f>
        <v>0</v>
      </c>
      <c r="P30" s="71">
        <f>+N30+L30</f>
        <v>0</v>
      </c>
    </row>
    <row r="31" spans="1:16">
      <c r="A31" s="32" t="s">
        <v>268</v>
      </c>
      <c r="B31" s="33">
        <f>SUM(C31:F31)</f>
        <v>4</v>
      </c>
      <c r="C31" s="34">
        <v>1</v>
      </c>
      <c r="D31" s="34">
        <v>1</v>
      </c>
      <c r="E31" s="34">
        <v>1</v>
      </c>
      <c r="F31" s="34">
        <v>1</v>
      </c>
      <c r="G31" s="34">
        <v>1</v>
      </c>
      <c r="H31" s="35"/>
      <c r="I31" s="35"/>
      <c r="J31" s="35"/>
      <c r="K31" s="48">
        <f>SUM(G31:J31)</f>
        <v>1</v>
      </c>
      <c r="L31" s="48"/>
      <c r="M31" s="73"/>
      <c r="N31" s="74">
        <v>5</v>
      </c>
      <c r="O31" s="75">
        <f>+K31+M31</f>
        <v>1</v>
      </c>
      <c r="P31" s="76">
        <f>+N31+L31</f>
        <v>5</v>
      </c>
    </row>
    <row r="32" spans="1:16">
      <c r="A32" s="36" t="s">
        <v>269</v>
      </c>
      <c r="B32" s="33">
        <f>SUM(C32:F32)</f>
        <v>5</v>
      </c>
      <c r="C32" s="37">
        <v>1</v>
      </c>
      <c r="D32" s="37">
        <v>1</v>
      </c>
      <c r="E32" s="34">
        <v>1</v>
      </c>
      <c r="F32" s="37">
        <v>2</v>
      </c>
      <c r="G32" s="38">
        <v>5</v>
      </c>
      <c r="H32" s="39"/>
      <c r="I32" s="39"/>
      <c r="J32" s="39"/>
      <c r="K32" s="48">
        <f>SUM(G32:J32)</f>
        <v>5</v>
      </c>
      <c r="L32" s="48">
        <v>15</v>
      </c>
      <c r="M32" s="77"/>
      <c r="N32" s="74"/>
      <c r="O32" s="75">
        <f>+K32+M32</f>
        <v>5</v>
      </c>
      <c r="P32" s="76">
        <f>+N32+L32</f>
        <v>15</v>
      </c>
    </row>
    <row r="33" spans="1:16">
      <c r="A33" s="40" t="s">
        <v>161</v>
      </c>
      <c r="B33" s="33">
        <f>SUM(C33:F33)</f>
        <v>126</v>
      </c>
      <c r="C33" s="41">
        <f t="shared" ref="C33:J33" si="4">SUM(C8:C32)</f>
        <v>24</v>
      </c>
      <c r="D33" s="41">
        <f>SUM(D8:D32)</f>
        <v>32</v>
      </c>
      <c r="E33" s="34">
        <f>SUM(E8:E32)</f>
        <v>38</v>
      </c>
      <c r="F33" s="41">
        <f>SUM(F8:F32)</f>
        <v>32</v>
      </c>
      <c r="G33" s="41">
        <f>SUM(G8:G32)</f>
        <v>22</v>
      </c>
      <c r="H33" s="41">
        <f>SUM(H8:H32)</f>
        <v>0</v>
      </c>
      <c r="I33" s="41">
        <f>SUM(I8:I32)</f>
        <v>0</v>
      </c>
      <c r="J33" s="41">
        <f>SUM(J8:J32)</f>
        <v>0</v>
      </c>
      <c r="K33" s="78">
        <f>SUM(G33:J33)</f>
        <v>22</v>
      </c>
      <c r="L33" s="78">
        <f t="shared" ref="L33:N33" si="5">SUM(L8:L32)</f>
        <v>31</v>
      </c>
      <c r="M33" s="79">
        <f>SUM(M8:M32)</f>
        <v>13</v>
      </c>
      <c r="N33" s="80">
        <f>SUM(N8:N32)</f>
        <v>45.5</v>
      </c>
      <c r="O33" s="81">
        <f>+K33+M33</f>
        <v>35</v>
      </c>
      <c r="P33" s="82">
        <f>+N33+L33</f>
        <v>76.5</v>
      </c>
    </row>
    <row r="34" spans="1:16">
      <c r="A34" s="42" t="s">
        <v>40</v>
      </c>
      <c r="B34" s="43"/>
      <c r="C34" s="44" t="s">
        <v>14</v>
      </c>
      <c r="D34" s="45"/>
      <c r="E34" s="45"/>
      <c r="F34" s="46"/>
      <c r="G34" s="44"/>
      <c r="H34" s="45"/>
      <c r="I34" s="45"/>
      <c r="J34" s="46"/>
      <c r="K34" s="83"/>
      <c r="L34" s="84"/>
      <c r="M34" s="85"/>
      <c r="N34" s="86"/>
      <c r="O34" s="87"/>
      <c r="P34" s="88"/>
    </row>
    <row r="35" ht="25.5" spans="1:15">
      <c r="A35" s="47" t="s">
        <v>16</v>
      </c>
      <c r="B35" s="47" t="s">
        <v>17</v>
      </c>
      <c r="C35" s="47" t="s">
        <v>18</v>
      </c>
      <c r="D35" s="47" t="s">
        <v>19</v>
      </c>
      <c r="E35" s="47" t="s">
        <v>64</v>
      </c>
      <c r="F35" s="47" t="s">
        <v>65</v>
      </c>
      <c r="G35" s="47" t="s">
        <v>18</v>
      </c>
      <c r="H35" s="47" t="s">
        <v>399</v>
      </c>
      <c r="I35" s="47" t="s">
        <v>64</v>
      </c>
      <c r="J35" s="47" t="s">
        <v>65</v>
      </c>
      <c r="K35" s="47" t="s">
        <v>22</v>
      </c>
      <c r="L35" s="47" t="s">
        <v>41</v>
      </c>
      <c r="M35" s="47" t="s">
        <v>42</v>
      </c>
      <c r="N35" s="89"/>
      <c r="O35" s="90"/>
    </row>
    <row r="36" spans="1:15">
      <c r="A36" s="29" t="s">
        <v>265</v>
      </c>
      <c r="B36" s="48">
        <f>SUM(C36:F36)</f>
        <v>12.5</v>
      </c>
      <c r="C36" s="35">
        <v>3.5</v>
      </c>
      <c r="D36" s="34">
        <v>3</v>
      </c>
      <c r="E36" s="34">
        <v>2.5</v>
      </c>
      <c r="F36" s="34">
        <v>3.5</v>
      </c>
      <c r="G36" s="49">
        <f>+(10250+12850+28810+36780+50200+44900)/100000</f>
        <v>1.8379</v>
      </c>
      <c r="H36" s="50">
        <f>+(21165)/100000</f>
        <v>0.21165</v>
      </c>
      <c r="I36" s="50"/>
      <c r="J36" s="76"/>
      <c r="K36" s="76">
        <f>SUM(G36:J36)</f>
        <v>2.04955</v>
      </c>
      <c r="L36" s="50">
        <f>+((C36+D36)-(G36+H36))*-1</f>
        <v>-4.45045</v>
      </c>
      <c r="M36" s="91">
        <f>+K36/B36</f>
        <v>0.163964</v>
      </c>
      <c r="N36" s="89"/>
      <c r="O36" s="90"/>
    </row>
    <row r="37" spans="1:15">
      <c r="A37" s="29" t="s">
        <v>222</v>
      </c>
      <c r="B37" s="48">
        <f t="shared" ref="B37:B43" si="6">SUM(C37:F37)</f>
        <v>10.5</v>
      </c>
      <c r="C37" s="35">
        <v>2.5</v>
      </c>
      <c r="D37" s="34">
        <v>3</v>
      </c>
      <c r="E37" s="34">
        <v>2</v>
      </c>
      <c r="F37" s="34">
        <v>3</v>
      </c>
      <c r="G37" s="49">
        <f>+(8200+12000+5500+10900+41200+24100)/100000</f>
        <v>1.019</v>
      </c>
      <c r="H37" s="50">
        <f>+(12800)/100000</f>
        <v>0.128</v>
      </c>
      <c r="I37" s="50"/>
      <c r="J37" s="50"/>
      <c r="K37" s="76">
        <f t="shared" ref="K37:K53" si="7">SUM(G37:J37)</f>
        <v>1.147</v>
      </c>
      <c r="L37" s="50">
        <f t="shared" ref="L37:L53" si="8">+((C37+D37)-(G37+H37))*-1</f>
        <v>-4.353</v>
      </c>
      <c r="M37" s="91">
        <f t="shared" ref="M37:M53" si="9">+K37/B37</f>
        <v>0.109238095238095</v>
      </c>
      <c r="N37" s="89"/>
      <c r="O37" s="90"/>
    </row>
    <row r="38" spans="1:15">
      <c r="A38" s="29" t="s">
        <v>266</v>
      </c>
      <c r="B38" s="48">
        <f>SUM(C38:F38)</f>
        <v>11.25</v>
      </c>
      <c r="C38" s="35">
        <v>3.5</v>
      </c>
      <c r="D38" s="34">
        <v>2.75</v>
      </c>
      <c r="E38" s="34">
        <v>2.5</v>
      </c>
      <c r="F38" s="34">
        <v>2.5</v>
      </c>
      <c r="G38" s="49">
        <f>+(14700+14800+13650+10000+17400+13750)/100000</f>
        <v>0.843</v>
      </c>
      <c r="H38" s="50">
        <f>+(9250)/100000</f>
        <v>0.0925</v>
      </c>
      <c r="I38" s="50"/>
      <c r="J38" s="50"/>
      <c r="K38" s="76">
        <f>SUM(G38:J38)</f>
        <v>0.9355</v>
      </c>
      <c r="L38" s="50">
        <f>+((C38+D38)-(G38+H38))*-1</f>
        <v>-5.3145</v>
      </c>
      <c r="M38" s="91">
        <f>+K38/B38</f>
        <v>0.0831555555555556</v>
      </c>
      <c r="N38" s="92"/>
      <c r="O38" s="93"/>
    </row>
    <row r="39" spans="1:15">
      <c r="A39" s="29" t="s">
        <v>209</v>
      </c>
      <c r="B39" s="48">
        <f>SUM(C39:F39)</f>
        <v>13.5</v>
      </c>
      <c r="C39" s="34">
        <v>3.5</v>
      </c>
      <c r="D39" s="34">
        <v>3</v>
      </c>
      <c r="E39" s="34">
        <v>3</v>
      </c>
      <c r="F39" s="34">
        <v>4</v>
      </c>
      <c r="G39" s="49">
        <f>+(28700+19500+27400+21600+45700+27900)/100000</f>
        <v>1.708</v>
      </c>
      <c r="H39" s="50">
        <f>+(15100)/100000</f>
        <v>0.151</v>
      </c>
      <c r="I39" s="50"/>
      <c r="J39" s="50"/>
      <c r="K39" s="76">
        <f>SUM(G39:J39)</f>
        <v>1.859</v>
      </c>
      <c r="L39" s="50">
        <f>+((C39+D39)-(G39+H39))*-1</f>
        <v>-4.641</v>
      </c>
      <c r="M39" s="91">
        <f>+K39/B39</f>
        <v>0.137703703703704</v>
      </c>
      <c r="N39" s="92"/>
      <c r="O39" s="93"/>
    </row>
    <row r="40" spans="1:15">
      <c r="A40" s="51" t="s">
        <v>293</v>
      </c>
      <c r="B40" s="48">
        <f t="shared" ref="B40:B41" si="10">SUM(C40:F40)</f>
        <v>19</v>
      </c>
      <c r="C40" s="35">
        <v>4.5</v>
      </c>
      <c r="D40" s="34">
        <v>4.5</v>
      </c>
      <c r="E40" s="34">
        <v>5</v>
      </c>
      <c r="F40" s="34">
        <v>5</v>
      </c>
      <c r="G40" s="49">
        <f>+(33590+60400+41950+38900+28600+82600)/100000</f>
        <v>2.8604</v>
      </c>
      <c r="H40" s="50">
        <f>+(41200)/100000</f>
        <v>0.412</v>
      </c>
      <c r="I40" s="50"/>
      <c r="J40" s="50"/>
      <c r="K40" s="76">
        <f t="shared" ref="K40:K41" si="11">SUM(G40:J40)</f>
        <v>3.2724</v>
      </c>
      <c r="L40" s="50">
        <f>+((C40+D40)-(G40+H40))*-1</f>
        <v>-5.7276</v>
      </c>
      <c r="M40" s="91">
        <f>+K40/B40</f>
        <v>0.172231578947368</v>
      </c>
      <c r="N40" s="92"/>
      <c r="O40" s="93"/>
    </row>
    <row r="41" spans="1:15">
      <c r="A41" s="51" t="s">
        <v>261</v>
      </c>
      <c r="B41" s="48">
        <f>SUM(C41:F41)</f>
        <v>13</v>
      </c>
      <c r="C41" s="35">
        <v>3</v>
      </c>
      <c r="D41" s="34">
        <v>3.5</v>
      </c>
      <c r="E41" s="34">
        <v>3</v>
      </c>
      <c r="F41" s="34">
        <v>3.5</v>
      </c>
      <c r="G41" s="49">
        <f>+(15550+30900+23750+25200+44150+30400)/100000</f>
        <v>1.6995</v>
      </c>
      <c r="H41" s="50">
        <f>+(6950)/100000</f>
        <v>0.0695</v>
      </c>
      <c r="I41" s="50"/>
      <c r="J41" s="50"/>
      <c r="K41" s="76">
        <f>SUM(G41:J41)</f>
        <v>1.769</v>
      </c>
      <c r="L41" s="50">
        <f>+((C41+D41)-(G41+H41))*-1</f>
        <v>-4.731</v>
      </c>
      <c r="M41" s="91">
        <f>+K41/B41</f>
        <v>0.136076923076923</v>
      </c>
      <c r="N41" s="92"/>
      <c r="O41" s="93"/>
    </row>
    <row r="42" spans="1:15">
      <c r="A42" s="51" t="s">
        <v>263</v>
      </c>
      <c r="B42" s="48">
        <f>SUM(C42:F42)</f>
        <v>9.5</v>
      </c>
      <c r="C42" s="35">
        <v>2</v>
      </c>
      <c r="D42" s="52">
        <v>2.5</v>
      </c>
      <c r="E42" s="52">
        <v>2</v>
      </c>
      <c r="F42" s="52">
        <v>3</v>
      </c>
      <c r="G42" s="49">
        <f>+(25000+32350+15700+42100+33600+34400)/100000</f>
        <v>1.8315</v>
      </c>
      <c r="H42" s="50">
        <f>+(18800)/100000</f>
        <v>0.188</v>
      </c>
      <c r="I42" s="50"/>
      <c r="J42" s="50"/>
      <c r="K42" s="76">
        <f>SUM(G42:J42)</f>
        <v>2.0195</v>
      </c>
      <c r="L42" s="50">
        <f>+((C42+D42)-(G42+H42))*-1</f>
        <v>-2.4805</v>
      </c>
      <c r="M42" s="91">
        <f>+K42/B42</f>
        <v>0.212578947368421</v>
      </c>
      <c r="N42" s="94"/>
      <c r="O42" s="95"/>
    </row>
    <row r="43" spans="1:15">
      <c r="A43" s="51" t="s">
        <v>271</v>
      </c>
      <c r="B43" s="48">
        <f>SUM(C43:F43)</f>
        <v>10</v>
      </c>
      <c r="C43" s="35">
        <v>2.5</v>
      </c>
      <c r="D43" s="52">
        <v>2</v>
      </c>
      <c r="E43" s="52">
        <v>2.5</v>
      </c>
      <c r="F43" s="52">
        <v>3</v>
      </c>
      <c r="G43" s="49">
        <f>+(24600+24100+8500+9350+66600+75600)/100000</f>
        <v>2.0875</v>
      </c>
      <c r="H43" s="50">
        <f>+(48700)/100000</f>
        <v>0.487</v>
      </c>
      <c r="I43" s="50"/>
      <c r="J43" s="50"/>
      <c r="K43" s="76">
        <f>SUM(G43:J43)</f>
        <v>2.5745</v>
      </c>
      <c r="L43" s="50">
        <f>+((C43+D43)-(G43+H43))*-1</f>
        <v>-1.9255</v>
      </c>
      <c r="M43" s="91">
        <f>+K43/B43</f>
        <v>0.25745</v>
      </c>
      <c r="N43" s="92"/>
      <c r="O43" s="93"/>
    </row>
    <row r="44" spans="1:15">
      <c r="A44" s="51" t="s">
        <v>262</v>
      </c>
      <c r="B44" s="48">
        <f t="shared" ref="B44:B53" si="12">SUM(C44:F44)</f>
        <v>15.5</v>
      </c>
      <c r="C44" s="35">
        <v>3.5</v>
      </c>
      <c r="D44" s="52">
        <v>4</v>
      </c>
      <c r="E44" s="52">
        <v>3.5</v>
      </c>
      <c r="F44" s="52">
        <v>4.5</v>
      </c>
      <c r="G44" s="49">
        <f>+(36300+31900+24100+24800+39500+43100)/100000</f>
        <v>1.997</v>
      </c>
      <c r="H44" s="50">
        <f>+(27500)/100000</f>
        <v>0.275</v>
      </c>
      <c r="I44" s="50"/>
      <c r="J44" s="50"/>
      <c r="K44" s="76">
        <f>SUM(G44:J44)</f>
        <v>2.272</v>
      </c>
      <c r="L44" s="50">
        <f>+((C44+D44)-(G44+H44))*-1</f>
        <v>-5.228</v>
      </c>
      <c r="M44" s="91">
        <f>+K44/B44</f>
        <v>0.14658064516129</v>
      </c>
      <c r="N44" s="92"/>
      <c r="O44" s="93"/>
    </row>
    <row r="45" spans="1:15">
      <c r="A45" s="51" t="s">
        <v>382</v>
      </c>
      <c r="B45" s="48">
        <f>SUM(C45:F45)</f>
        <v>9.5</v>
      </c>
      <c r="C45" s="35">
        <v>2.5</v>
      </c>
      <c r="D45" s="52">
        <v>2</v>
      </c>
      <c r="E45" s="52">
        <v>2</v>
      </c>
      <c r="F45" s="52">
        <v>3</v>
      </c>
      <c r="G45" s="49">
        <f>+(33317+35400+30350+33120+76400+41700)/100000</f>
        <v>2.50287</v>
      </c>
      <c r="H45" s="50">
        <f>+(26500)/100000</f>
        <v>0.265</v>
      </c>
      <c r="I45" s="50"/>
      <c r="J45" s="50"/>
      <c r="K45" s="76">
        <f>SUM(G45:J45)</f>
        <v>2.76787</v>
      </c>
      <c r="L45" s="50">
        <f>+((C45+D45)-(G45+H45))*-1</f>
        <v>-1.73213</v>
      </c>
      <c r="M45" s="91">
        <f>+K45/B45</f>
        <v>0.291354736842105</v>
      </c>
      <c r="N45" s="92"/>
      <c r="O45" s="93"/>
    </row>
    <row r="46" spans="1:15">
      <c r="A46" s="51" t="s">
        <v>362</v>
      </c>
      <c r="B46" s="48">
        <f>SUM(C46:F46)</f>
        <v>6.5</v>
      </c>
      <c r="C46" s="35">
        <v>2</v>
      </c>
      <c r="D46" s="52">
        <v>1.5</v>
      </c>
      <c r="E46" s="52">
        <v>1.5</v>
      </c>
      <c r="F46" s="52">
        <v>1.5</v>
      </c>
      <c r="G46" s="49">
        <f>+(1300+126100+12700+131100)/100000</f>
        <v>2.712</v>
      </c>
      <c r="H46" s="50">
        <f>+(12200)/100000</f>
        <v>0.122</v>
      </c>
      <c r="I46" s="50"/>
      <c r="J46" s="50"/>
      <c r="K46" s="76">
        <f>SUM(G46:J46)</f>
        <v>2.834</v>
      </c>
      <c r="L46" s="50">
        <f>+((C46+D46)-(G46+H46))*-1</f>
        <v>-0.666</v>
      </c>
      <c r="M46" s="91">
        <f>+K46/B46</f>
        <v>0.436</v>
      </c>
      <c r="N46" s="92"/>
      <c r="O46" s="93"/>
    </row>
    <row r="47" spans="1:15">
      <c r="A47" s="51" t="s">
        <v>411</v>
      </c>
      <c r="B47" s="48">
        <f>SUM(C47:F47)</f>
        <v>1</v>
      </c>
      <c r="C47" s="35">
        <v>0.25</v>
      </c>
      <c r="D47" s="52">
        <v>0.25</v>
      </c>
      <c r="E47" s="52">
        <v>0.25</v>
      </c>
      <c r="F47" s="52">
        <v>0.25</v>
      </c>
      <c r="G47" s="49">
        <f>+(24100)/100000</f>
        <v>0.241</v>
      </c>
      <c r="H47" s="50"/>
      <c r="I47" s="50"/>
      <c r="J47" s="50"/>
      <c r="K47" s="76">
        <f>SUM(G47:J47)</f>
        <v>0.241</v>
      </c>
      <c r="L47" s="50">
        <f>+((C47+D47)-(G47+H47))*-1</f>
        <v>-0.259</v>
      </c>
      <c r="M47" s="91">
        <f>+K47/B47</f>
        <v>0.241</v>
      </c>
      <c r="N47" s="92"/>
      <c r="O47" s="93"/>
    </row>
    <row r="48" spans="1:15">
      <c r="A48" s="51" t="s">
        <v>412</v>
      </c>
      <c r="B48" s="48">
        <f>SUM(C48:F48)</f>
        <v>0.5</v>
      </c>
      <c r="C48" s="35">
        <v>0.1</v>
      </c>
      <c r="D48" s="52">
        <v>0.1</v>
      </c>
      <c r="E48" s="52">
        <v>0.2</v>
      </c>
      <c r="F48" s="52">
        <v>0.1</v>
      </c>
      <c r="G48" s="49">
        <f>+(2600+2600+4700+5100)/100000</f>
        <v>0.15</v>
      </c>
      <c r="H48" s="50">
        <f>+(12700)/100000</f>
        <v>0.127</v>
      </c>
      <c r="I48" s="50"/>
      <c r="J48" s="50"/>
      <c r="K48" s="76">
        <f>SUM(G48:J48)</f>
        <v>0.277</v>
      </c>
      <c r="L48" s="50">
        <f>+((C48+D48)-(G48+H48))*-1</f>
        <v>0.077</v>
      </c>
      <c r="M48" s="91">
        <f>+K48/B48</f>
        <v>0.554</v>
      </c>
      <c r="N48" s="92"/>
      <c r="O48" s="93"/>
    </row>
    <row r="49" spans="1:15">
      <c r="A49" s="51" t="s">
        <v>383</v>
      </c>
      <c r="B49" s="48">
        <f>SUM(C49:F49)</f>
        <v>4</v>
      </c>
      <c r="C49" s="35">
        <v>1</v>
      </c>
      <c r="D49" s="52">
        <v>1</v>
      </c>
      <c r="E49" s="52">
        <v>1</v>
      </c>
      <c r="F49" s="52">
        <v>1</v>
      </c>
      <c r="G49" s="49">
        <f>+(12600+16700+16700+19800+16000+13800)/100000</f>
        <v>0.956</v>
      </c>
      <c r="H49" s="50">
        <f>+(28400)/100000</f>
        <v>0.284</v>
      </c>
      <c r="I49" s="50"/>
      <c r="J49" s="50"/>
      <c r="K49" s="76">
        <f>SUM(G49:J49)</f>
        <v>1.24</v>
      </c>
      <c r="L49" s="50">
        <f>+((C49+D49)-(G49+H49))*-1</f>
        <v>-0.76</v>
      </c>
      <c r="M49" s="91">
        <f>+K49/B49</f>
        <v>0.31</v>
      </c>
      <c r="N49" s="92"/>
      <c r="O49" s="93"/>
    </row>
    <row r="50" spans="1:15">
      <c r="A50" s="53" t="s">
        <v>351</v>
      </c>
      <c r="B50" s="48">
        <f>SUM(C50:F50)</f>
        <v>8</v>
      </c>
      <c r="C50" s="35">
        <v>1.5</v>
      </c>
      <c r="D50" s="52">
        <v>2</v>
      </c>
      <c r="E50" s="52">
        <v>2</v>
      </c>
      <c r="F50" s="52">
        <v>2.5</v>
      </c>
      <c r="G50" s="49">
        <f>+(3500+2600+3600+5500+5100+24100)/100000</f>
        <v>0.444</v>
      </c>
      <c r="H50" s="50">
        <f>+(1900)/100000</f>
        <v>0.019</v>
      </c>
      <c r="I50" s="50"/>
      <c r="J50" s="50"/>
      <c r="K50" s="76">
        <f>SUM(G50:J50)</f>
        <v>0.463</v>
      </c>
      <c r="L50" s="50">
        <f>+((C50+D50)-(G50+H50))*-1</f>
        <v>-3.037</v>
      </c>
      <c r="M50" s="91">
        <f>+K50/B50</f>
        <v>0.057875</v>
      </c>
      <c r="N50" s="92"/>
      <c r="O50" s="93"/>
    </row>
    <row r="51" spans="1:15">
      <c r="A51" s="53" t="s">
        <v>35</v>
      </c>
      <c r="B51" s="48">
        <f>SUM(C51:F51)</f>
        <v>0.75</v>
      </c>
      <c r="C51" s="35">
        <v>0</v>
      </c>
      <c r="D51" s="52">
        <v>0.5</v>
      </c>
      <c r="E51" s="52">
        <v>0</v>
      </c>
      <c r="F51" s="52">
        <v>0.25</v>
      </c>
      <c r="G51" s="49"/>
      <c r="H51" s="50"/>
      <c r="I51" s="50"/>
      <c r="J51" s="50"/>
      <c r="K51" s="76">
        <f>SUM(G51:J51)</f>
        <v>0</v>
      </c>
      <c r="L51" s="50">
        <f>+((C51+D51)-(G51+H51))*-1</f>
        <v>-0.5</v>
      </c>
      <c r="M51" s="91">
        <f>+K51/B51</f>
        <v>0</v>
      </c>
      <c r="N51" s="92"/>
      <c r="O51" s="93"/>
    </row>
    <row r="52" spans="1:15">
      <c r="A52" s="53" t="s">
        <v>38</v>
      </c>
      <c r="B52" s="48">
        <f>SUM(C52:F52)</f>
        <v>25</v>
      </c>
      <c r="C52" s="35">
        <v>6</v>
      </c>
      <c r="D52" s="52">
        <v>5.5</v>
      </c>
      <c r="E52" s="52">
        <v>7</v>
      </c>
      <c r="F52" s="52">
        <v>6.5</v>
      </c>
      <c r="G52" s="49">
        <f>+(6800+3000+8200+1000+27280+95830+118660+4400+4720)/100000</f>
        <v>2.6989</v>
      </c>
      <c r="H52" s="50">
        <f>+(53160)/100000</f>
        <v>0.5316</v>
      </c>
      <c r="I52" s="50"/>
      <c r="J52" s="50"/>
      <c r="K52" s="76">
        <f>SUM(G52:J52)</f>
        <v>3.2305</v>
      </c>
      <c r="L52" s="50">
        <f>+((C52+D52)-(G52+H52))*-1</f>
        <v>-8.2695</v>
      </c>
      <c r="M52" s="91">
        <f>+K52/B52</f>
        <v>0.12922</v>
      </c>
      <c r="N52" s="92"/>
      <c r="O52" s="93"/>
    </row>
    <row r="53" spans="1:15">
      <c r="A53" s="54" t="s">
        <v>44</v>
      </c>
      <c r="B53" s="48">
        <f>SUM(C53:F53)</f>
        <v>170</v>
      </c>
      <c r="C53" s="35">
        <f t="shared" ref="C53:J53" si="13">SUM(C36:C52)</f>
        <v>41.85</v>
      </c>
      <c r="D53" s="48">
        <f>SUM(D36:D52)</f>
        <v>41.1</v>
      </c>
      <c r="E53" s="48">
        <f>SUM(E36:E52)</f>
        <v>39.95</v>
      </c>
      <c r="F53" s="48">
        <f>SUM(F36:F52)</f>
        <v>47.1</v>
      </c>
      <c r="G53" s="49">
        <f>SUM(G36:G52)</f>
        <v>25.58857</v>
      </c>
      <c r="H53" s="50">
        <f>SUM(H36:H52)</f>
        <v>3.36325</v>
      </c>
      <c r="I53" s="50">
        <f>SUM(I36:I52)</f>
        <v>0</v>
      </c>
      <c r="J53" s="50">
        <f>SUM(J36:J52)</f>
        <v>0</v>
      </c>
      <c r="K53" s="76">
        <f>SUM(G53:J53)</f>
        <v>28.95182</v>
      </c>
      <c r="L53" s="50">
        <f>+((C53+D53)-(G53+H53))*-1</f>
        <v>-53.99818</v>
      </c>
      <c r="M53" s="91">
        <f>+K53/B53</f>
        <v>0.170304823529412</v>
      </c>
      <c r="N53" s="92"/>
      <c r="O53" s="93"/>
    </row>
    <row r="54" spans="1:15">
      <c r="A54" s="55"/>
      <c r="B54" s="56"/>
      <c r="C54" s="57"/>
      <c r="N54" s="94"/>
      <c r="O54" s="95"/>
    </row>
    <row r="55" spans="14:15">
      <c r="N55" s="92"/>
      <c r="O55" s="93"/>
    </row>
    <row r="56" spans="14:15">
      <c r="N56" s="92"/>
      <c r="O56" s="93"/>
    </row>
    <row r="57" spans="2:15">
      <c r="B57" s="1"/>
      <c r="N57" s="92"/>
      <c r="O57" s="93"/>
    </row>
    <row r="58" spans="2:15">
      <c r="B58" s="1"/>
      <c r="N58" s="92"/>
      <c r="O58" s="93"/>
    </row>
    <row r="59" spans="2:15">
      <c r="B59" s="1"/>
      <c r="N59" s="92"/>
      <c r="O59" s="93"/>
    </row>
    <row r="60" spans="2:15">
      <c r="B60" s="1"/>
      <c r="N60" s="92"/>
      <c r="O60" s="93"/>
    </row>
    <row r="61" spans="2:15">
      <c r="B61" s="1"/>
      <c r="N61" s="92"/>
      <c r="O61" s="93"/>
    </row>
    <row r="62" spans="2:15">
      <c r="B62" s="1"/>
      <c r="N62" s="92"/>
      <c r="O62" s="93"/>
    </row>
    <row r="63" spans="2:15">
      <c r="B63" s="1"/>
      <c r="N63" s="92"/>
      <c r="O63" s="93"/>
    </row>
    <row r="64" spans="2:15">
      <c r="B64" s="1"/>
      <c r="N64" s="94"/>
      <c r="O64" s="95"/>
    </row>
    <row r="65" spans="2:15">
      <c r="B65" s="1"/>
      <c r="N65" s="92"/>
      <c r="O65" s="93"/>
    </row>
    <row r="66" spans="2:15">
      <c r="B66" s="1"/>
      <c r="N66" s="92"/>
      <c r="O66" s="93"/>
    </row>
    <row r="67" spans="2:15">
      <c r="B67" s="1"/>
      <c r="N67" s="92"/>
      <c r="O67" s="93"/>
    </row>
    <row r="68" spans="2:15">
      <c r="B68" s="1"/>
      <c r="N68" s="92"/>
      <c r="O68" s="93"/>
    </row>
    <row r="69" spans="2:15">
      <c r="B69" s="1"/>
      <c r="N69" s="92"/>
      <c r="O69" s="93"/>
    </row>
    <row r="70" spans="2:15">
      <c r="B70" s="1"/>
      <c r="N70" s="92"/>
      <c r="O70" s="93"/>
    </row>
    <row r="71" spans="2:15">
      <c r="B71" s="1"/>
      <c r="N71" s="92"/>
      <c r="O71" s="93"/>
    </row>
    <row r="72" spans="2:15">
      <c r="B72" s="1"/>
      <c r="N72" s="94"/>
      <c r="O72" s="95"/>
    </row>
    <row r="73" spans="2:15">
      <c r="B73" s="1"/>
      <c r="N73" s="92"/>
      <c r="O73" s="93"/>
    </row>
    <row r="74" spans="2:15">
      <c r="B74" s="1"/>
      <c r="N74" s="92"/>
      <c r="O74" s="93"/>
    </row>
    <row r="75" spans="2:15">
      <c r="B75" s="1"/>
      <c r="N75" s="92"/>
      <c r="O75" s="93"/>
    </row>
    <row r="76" spans="2:15">
      <c r="B76" s="1"/>
      <c r="N76" s="92"/>
      <c r="O76" s="93"/>
    </row>
    <row r="77" spans="2:15">
      <c r="B77" s="1"/>
      <c r="N77" s="92"/>
      <c r="O77" s="93"/>
    </row>
    <row r="78" spans="2:15">
      <c r="B78" s="1"/>
      <c r="N78" s="92"/>
      <c r="O78" s="93"/>
    </row>
    <row r="79" spans="2:15">
      <c r="B79" s="1"/>
      <c r="N79" s="92"/>
      <c r="O79" s="93"/>
    </row>
    <row r="80" spans="2:15">
      <c r="B80" s="1"/>
      <c r="N80" s="92"/>
      <c r="O80" s="96"/>
    </row>
  </sheetData>
  <mergeCells count="5">
    <mergeCell ref="D5:F5"/>
    <mergeCell ref="C6:F6"/>
    <mergeCell ref="G6:J6"/>
    <mergeCell ref="C34:F34"/>
    <mergeCell ref="G34:J34"/>
  </mergeCells>
  <pageMargins left="0.699305555555556" right="0.699305555555556" top="0.75" bottom="0.75" header="0.3" footer="0.3"/>
  <pageSetup paperSize="9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5"/>
  <sheetViews>
    <sheetView topLeftCell="A23" workbookViewId="0">
      <selection activeCell="A1" sqref="A1:M38"/>
    </sheetView>
  </sheetViews>
  <sheetFormatPr defaultColWidth="9" defaultRowHeight="15"/>
  <cols>
    <col min="1" max="1" width="18.8571428571429" style="1" customWidth="1"/>
    <col min="2" max="2" width="9.57142857142857" style="2" customWidth="1"/>
    <col min="3" max="3" width="8.85714285714286" style="1" customWidth="1"/>
    <col min="4" max="4" width="9.14285714285714" style="1" customWidth="1"/>
    <col min="5" max="5" width="9" style="1" customWidth="1"/>
    <col min="6" max="6" width="9.57142857142857" style="1" customWidth="1"/>
    <col min="7" max="7" width="9.42857142857143" style="1" customWidth="1"/>
    <col min="8" max="8" width="9.28571428571429" style="1" customWidth="1"/>
    <col min="9" max="9" width="8.57142857142857" style="1" customWidth="1"/>
    <col min="10" max="10" width="9" style="1" customWidth="1"/>
    <col min="11" max="11" width="9.42857142857143" style="1" customWidth="1"/>
    <col min="12" max="12" width="11" style="1" customWidth="1"/>
    <col min="13" max="13" width="8.42857142857143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ht="12.75" customHeight="1" spans="1:13">
      <c r="A1" s="161" t="s">
        <v>58</v>
      </c>
      <c r="B1" s="119" t="s">
        <v>59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spans="1:13">
      <c r="A2" s="6" t="s">
        <v>2</v>
      </c>
      <c r="B2" s="7">
        <f>+K22</f>
        <v>158.5</v>
      </c>
      <c r="C2" s="8"/>
      <c r="D2" s="8"/>
      <c r="E2" s="8"/>
      <c r="F2" s="8"/>
      <c r="G2" s="8"/>
      <c r="H2" s="8"/>
      <c r="I2" s="8"/>
      <c r="J2" s="8"/>
      <c r="K2" s="8"/>
      <c r="L2" s="8"/>
      <c r="M2" s="104"/>
    </row>
    <row r="3" ht="14.25" customHeight="1" spans="1:13">
      <c r="A3" s="6" t="s">
        <v>3</v>
      </c>
      <c r="B3" s="7">
        <f>+M22</f>
        <v>283</v>
      </c>
      <c r="C3" s="8"/>
      <c r="D3" s="8"/>
      <c r="E3" s="8"/>
      <c r="F3" s="8"/>
      <c r="G3" s="8"/>
      <c r="H3" s="8"/>
      <c r="I3" s="8"/>
      <c r="J3" s="8"/>
      <c r="K3" s="8"/>
      <c r="L3" s="8"/>
      <c r="M3" s="104"/>
    </row>
    <row r="4" ht="14.25" customHeight="1" spans="1:13">
      <c r="A4" s="6" t="s">
        <v>60</v>
      </c>
      <c r="B4" s="11"/>
      <c r="C4" s="12"/>
      <c r="D4" s="13" t="s">
        <v>5</v>
      </c>
      <c r="E4" s="12">
        <v>5.5</v>
      </c>
      <c r="F4" s="12"/>
      <c r="G4" s="14" t="s">
        <v>61</v>
      </c>
      <c r="H4" s="155"/>
      <c r="I4" s="12" t="s">
        <v>7</v>
      </c>
      <c r="J4" s="13">
        <f>+K38</f>
        <v>69.33877</v>
      </c>
      <c r="K4" s="12" t="s">
        <v>8</v>
      </c>
      <c r="L4" s="12" t="s">
        <v>48</v>
      </c>
      <c r="M4" s="106"/>
    </row>
    <row r="5" ht="12.75" customHeight="1" spans="1:13">
      <c r="A5" s="16" t="s">
        <v>10</v>
      </c>
      <c r="B5" s="17" t="s">
        <v>62</v>
      </c>
      <c r="C5" s="18" t="s">
        <v>63</v>
      </c>
      <c r="D5" s="19">
        <v>5906250</v>
      </c>
      <c r="E5" s="19"/>
      <c r="F5" s="19"/>
      <c r="G5" s="20"/>
      <c r="H5" s="21"/>
      <c r="I5" s="62"/>
      <c r="J5" s="62"/>
      <c r="K5" s="62"/>
      <c r="L5" s="62"/>
      <c r="M5" s="105"/>
    </row>
    <row r="6" ht="12.75" customHeight="1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12.75" customHeight="1" spans="1:13">
      <c r="A7" s="25" t="s">
        <v>16</v>
      </c>
      <c r="B7" s="25" t="s">
        <v>17</v>
      </c>
      <c r="C7" s="25" t="s">
        <v>18</v>
      </c>
      <c r="D7" s="25" t="s">
        <v>19</v>
      </c>
      <c r="E7" s="25" t="s">
        <v>20</v>
      </c>
      <c r="F7" s="25" t="s">
        <v>56</v>
      </c>
      <c r="G7" s="25" t="s">
        <v>18</v>
      </c>
      <c r="H7" s="25" t="s">
        <v>19</v>
      </c>
      <c r="I7" s="25" t="s">
        <v>20</v>
      </c>
      <c r="J7" s="25" t="s">
        <v>57</v>
      </c>
      <c r="K7" s="25" t="s">
        <v>22</v>
      </c>
      <c r="L7" s="25" t="s">
        <v>23</v>
      </c>
      <c r="M7" s="25" t="s">
        <v>24</v>
      </c>
    </row>
    <row r="8" ht="13.5" customHeight="1" spans="1:13">
      <c r="A8" s="29" t="s">
        <v>25</v>
      </c>
      <c r="B8" s="34">
        <f>SUM(C8:F8)</f>
        <v>15</v>
      </c>
      <c r="C8" s="34">
        <v>2</v>
      </c>
      <c r="D8" s="34">
        <v>3</v>
      </c>
      <c r="E8" s="34">
        <v>5</v>
      </c>
      <c r="F8" s="34">
        <v>5</v>
      </c>
      <c r="G8" s="48">
        <v>1</v>
      </c>
      <c r="H8" s="162"/>
      <c r="I8" s="48">
        <v>10</v>
      </c>
      <c r="J8" s="48">
        <v>2</v>
      </c>
      <c r="K8" s="48">
        <f t="shared" ref="K8:K22" si="0">SUM(G8:J8)</f>
        <v>13</v>
      </c>
      <c r="L8" s="48">
        <f>+((C8+D8+E8+F8)-(G8+H8+I8+J8))*-1</f>
        <v>-2</v>
      </c>
      <c r="M8" s="162"/>
    </row>
    <row r="9" spans="1:13">
      <c r="A9" s="29" t="s">
        <v>26</v>
      </c>
      <c r="B9" s="34">
        <f t="shared" ref="B9:B21" si="1">SUM(C9:F9)</f>
        <v>15</v>
      </c>
      <c r="C9" s="34">
        <v>5</v>
      </c>
      <c r="D9" s="34">
        <v>3</v>
      </c>
      <c r="E9" s="34">
        <v>5</v>
      </c>
      <c r="F9" s="34">
        <v>2</v>
      </c>
      <c r="G9" s="48">
        <v>4</v>
      </c>
      <c r="H9" s="48">
        <v>6</v>
      </c>
      <c r="I9" s="48">
        <v>4</v>
      </c>
      <c r="J9" s="48">
        <v>0.5</v>
      </c>
      <c r="K9" s="48">
        <f>SUM(G9:J9)</f>
        <v>14.5</v>
      </c>
      <c r="L9" s="48">
        <f t="shared" ref="L9:L22" si="2">+((C9+D9+E9+F9)-(G9+H9+I9+J9))*-1</f>
        <v>-0.5</v>
      </c>
      <c r="M9" s="48">
        <v>19</v>
      </c>
    </row>
    <row r="10" spans="1:13">
      <c r="A10" s="29" t="s">
        <v>27</v>
      </c>
      <c r="B10" s="34">
        <f>SUM(C10:F10)</f>
        <v>12</v>
      </c>
      <c r="C10" s="34">
        <v>2</v>
      </c>
      <c r="D10" s="34">
        <v>3</v>
      </c>
      <c r="E10" s="34">
        <v>4</v>
      </c>
      <c r="F10" s="34">
        <v>3</v>
      </c>
      <c r="G10" s="48">
        <v>4</v>
      </c>
      <c r="H10" s="48"/>
      <c r="I10" s="48">
        <v>4</v>
      </c>
      <c r="J10" s="48">
        <v>5</v>
      </c>
      <c r="K10" s="48">
        <f>SUM(G10:J10)</f>
        <v>13</v>
      </c>
      <c r="L10" s="48">
        <f>+((C10+D10+E10+F10)-(G10+H10+I10+J10))*-1</f>
        <v>1</v>
      </c>
      <c r="M10" s="48">
        <v>32</v>
      </c>
    </row>
    <row r="11" spans="1:13">
      <c r="A11" s="29" t="s">
        <v>28</v>
      </c>
      <c r="B11" s="34">
        <f>SUM(C11:F11)</f>
        <v>12</v>
      </c>
      <c r="C11" s="34">
        <v>3</v>
      </c>
      <c r="D11" s="34">
        <v>2</v>
      </c>
      <c r="E11" s="34">
        <v>4</v>
      </c>
      <c r="F11" s="34">
        <v>3</v>
      </c>
      <c r="G11" s="48"/>
      <c r="H11" s="48">
        <v>11</v>
      </c>
      <c r="I11" s="48">
        <v>1</v>
      </c>
      <c r="J11" s="48">
        <v>1.5</v>
      </c>
      <c r="K11" s="48">
        <f>SUM(G11:J11)</f>
        <v>13.5</v>
      </c>
      <c r="L11" s="48">
        <f>+((C11+D11+E11+F11)-(G11+H11+I11+J11))*-1</f>
        <v>1.5</v>
      </c>
      <c r="M11" s="48">
        <v>76</v>
      </c>
    </row>
    <row r="12" spans="1:13">
      <c r="A12" s="29" t="s">
        <v>29</v>
      </c>
      <c r="B12" s="34">
        <f>SUM(C12:F12)</f>
        <v>10</v>
      </c>
      <c r="C12" s="34">
        <v>2</v>
      </c>
      <c r="D12" s="34">
        <v>2</v>
      </c>
      <c r="E12" s="34">
        <v>3</v>
      </c>
      <c r="F12" s="34">
        <v>3</v>
      </c>
      <c r="G12" s="48"/>
      <c r="H12" s="48"/>
      <c r="I12" s="48">
        <v>6</v>
      </c>
      <c r="J12" s="48">
        <v>4</v>
      </c>
      <c r="K12" s="48">
        <f>SUM(G12:J12)</f>
        <v>10</v>
      </c>
      <c r="L12" s="48">
        <f>+((C12+D12+E12+F12)-(G12+H12+I12+J12))*-1</f>
        <v>0</v>
      </c>
      <c r="M12" s="48"/>
    </row>
    <row r="13" spans="1:13">
      <c r="A13" s="51" t="s">
        <v>30</v>
      </c>
      <c r="B13" s="34">
        <f>SUM(C13:F13)</f>
        <v>16</v>
      </c>
      <c r="C13" s="34">
        <v>4</v>
      </c>
      <c r="D13" s="34">
        <v>4</v>
      </c>
      <c r="E13" s="34">
        <v>4</v>
      </c>
      <c r="F13" s="34">
        <v>4</v>
      </c>
      <c r="G13" s="48">
        <v>18</v>
      </c>
      <c r="H13" s="48"/>
      <c r="I13" s="48"/>
      <c r="J13" s="48">
        <v>3</v>
      </c>
      <c r="K13" s="48">
        <f>SUM(G13:J13)</f>
        <v>21</v>
      </c>
      <c r="L13" s="48">
        <f>+((C13+D13+E13+F13)-(G13+H13+I13+J13))*-1</f>
        <v>5</v>
      </c>
      <c r="M13" s="48">
        <v>6</v>
      </c>
    </row>
    <row r="14" spans="1:13">
      <c r="A14" s="51" t="s">
        <v>31</v>
      </c>
      <c r="B14" s="34">
        <f>SUM(C14:F14)</f>
        <v>10</v>
      </c>
      <c r="C14" s="34">
        <v>2</v>
      </c>
      <c r="D14" s="34">
        <v>2</v>
      </c>
      <c r="E14" s="34">
        <v>2</v>
      </c>
      <c r="F14" s="34">
        <v>4</v>
      </c>
      <c r="G14" s="48">
        <v>4.5</v>
      </c>
      <c r="H14" s="48">
        <v>0</v>
      </c>
      <c r="I14" s="48">
        <v>1.5</v>
      </c>
      <c r="J14" s="48"/>
      <c r="K14" s="48">
        <f>SUM(G14:J14)</f>
        <v>6</v>
      </c>
      <c r="L14" s="48">
        <f>+((C14+D14+E14+F14)-(G14+H14+I14+J14))*-1</f>
        <v>-4</v>
      </c>
      <c r="M14" s="48">
        <v>39</v>
      </c>
    </row>
    <row r="15" ht="13.5" customHeight="1" spans="1:13">
      <c r="A15" s="51" t="s">
        <v>36</v>
      </c>
      <c r="B15" s="34">
        <f>SUM(C15:F15)</f>
        <v>10</v>
      </c>
      <c r="C15" s="34">
        <v>1</v>
      </c>
      <c r="D15" s="34">
        <v>2</v>
      </c>
      <c r="E15" s="34">
        <v>2</v>
      </c>
      <c r="F15" s="137">
        <v>5</v>
      </c>
      <c r="G15" s="48">
        <v>0</v>
      </c>
      <c r="H15" s="48">
        <v>1</v>
      </c>
      <c r="I15" s="138">
        <v>3</v>
      </c>
      <c r="J15" s="48">
        <v>6</v>
      </c>
      <c r="K15" s="48">
        <f>SUM(G15:J15)</f>
        <v>10</v>
      </c>
      <c r="L15" s="48">
        <f>+((C15+D15+E15+F15)-(G15+H15+I15+J15))*-1</f>
        <v>0</v>
      </c>
      <c r="M15" s="48">
        <v>8</v>
      </c>
    </row>
    <row r="16" ht="13.5" customHeight="1" spans="1:13">
      <c r="A16" s="51" t="s">
        <v>32</v>
      </c>
      <c r="B16" s="34">
        <f>SUM(C16:F16)</f>
        <v>10</v>
      </c>
      <c r="C16" s="34">
        <v>1</v>
      </c>
      <c r="D16" s="34">
        <v>2</v>
      </c>
      <c r="E16" s="34">
        <v>3</v>
      </c>
      <c r="F16" s="34">
        <v>4</v>
      </c>
      <c r="G16" s="48"/>
      <c r="H16" s="48"/>
      <c r="I16" s="48">
        <v>3</v>
      </c>
      <c r="J16" s="48">
        <v>7</v>
      </c>
      <c r="K16" s="48">
        <f>SUM(G16:J16)</f>
        <v>10</v>
      </c>
      <c r="L16" s="48">
        <f>+((C16+D16+E16+F16)-(G16+H16+I16+J16))*-1</f>
        <v>0</v>
      </c>
      <c r="M16" s="48">
        <v>28</v>
      </c>
    </row>
    <row r="17" ht="13.5" customHeight="1" spans="1:13">
      <c r="A17" s="51" t="s">
        <v>34</v>
      </c>
      <c r="B17" s="34">
        <f>SUM(C17:F17)</f>
        <v>5</v>
      </c>
      <c r="C17" s="34">
        <v>1</v>
      </c>
      <c r="D17" s="34">
        <v>1</v>
      </c>
      <c r="E17" s="34">
        <v>1</v>
      </c>
      <c r="F17" s="34">
        <v>2</v>
      </c>
      <c r="G17" s="48">
        <v>1</v>
      </c>
      <c r="H17" s="48"/>
      <c r="I17" s="48">
        <v>2</v>
      </c>
      <c r="J17" s="48">
        <v>3</v>
      </c>
      <c r="K17" s="48">
        <f>SUM(G17:J17)</f>
        <v>6</v>
      </c>
      <c r="L17" s="48">
        <f>+((C17+D17+E17+F17)-(G17+H17+I17+J17))*-1</f>
        <v>1</v>
      </c>
      <c r="M17" s="48">
        <v>17</v>
      </c>
    </row>
    <row r="18" spans="1:13">
      <c r="A18" s="53" t="s">
        <v>33</v>
      </c>
      <c r="B18" s="34">
        <f>SUM(C18:F18)</f>
        <v>10</v>
      </c>
      <c r="C18" s="34">
        <v>1</v>
      </c>
      <c r="D18" s="34">
        <v>2</v>
      </c>
      <c r="E18" s="34">
        <v>2</v>
      </c>
      <c r="F18" s="34">
        <v>5</v>
      </c>
      <c r="G18" s="35">
        <v>3</v>
      </c>
      <c r="H18" s="35">
        <v>1</v>
      </c>
      <c r="I18" s="35">
        <v>4</v>
      </c>
      <c r="J18" s="48">
        <v>2.5</v>
      </c>
      <c r="K18" s="35">
        <f>SUM(G18:J18)</f>
        <v>10.5</v>
      </c>
      <c r="L18" s="48">
        <f>+((C18+D18+E18+F18)-(G18+H18+I18+J18))*-1</f>
        <v>0.5</v>
      </c>
      <c r="M18" s="35">
        <v>45</v>
      </c>
    </row>
    <row r="19" spans="1:13">
      <c r="A19" s="53" t="s">
        <v>35</v>
      </c>
      <c r="B19" s="34">
        <f>SUM(C19:F19)</f>
        <v>15</v>
      </c>
      <c r="C19" s="34">
        <v>2</v>
      </c>
      <c r="D19" s="34">
        <v>2</v>
      </c>
      <c r="E19" s="34">
        <v>5</v>
      </c>
      <c r="F19" s="34">
        <v>6</v>
      </c>
      <c r="G19" s="35"/>
      <c r="H19" s="35"/>
      <c r="I19" s="35"/>
      <c r="J19" s="35">
        <v>5</v>
      </c>
      <c r="K19" s="35">
        <f>SUM(G19:J19)</f>
        <v>5</v>
      </c>
      <c r="L19" s="48">
        <f>+((C19+D19+E19+F19)-(G19+H19+I19+J19))*-1</f>
        <v>-10</v>
      </c>
      <c r="M19" s="35"/>
    </row>
    <row r="20" ht="12.75" customHeight="1" spans="1:13">
      <c r="A20" s="53" t="s">
        <v>37</v>
      </c>
      <c r="B20" s="34"/>
      <c r="C20" s="34"/>
      <c r="D20" s="34"/>
      <c r="E20" s="34"/>
      <c r="F20" s="34"/>
      <c r="G20" s="35"/>
      <c r="H20" s="35"/>
      <c r="I20" s="35">
        <v>2</v>
      </c>
      <c r="J20" s="35"/>
      <c r="K20" s="35">
        <f>SUM(G20:J20)</f>
        <v>2</v>
      </c>
      <c r="L20" s="48">
        <f>+((C20+D20+E20+F20)-(G20+H20+I20+J20))*-1</f>
        <v>2</v>
      </c>
      <c r="M20" s="35">
        <v>13</v>
      </c>
    </row>
    <row r="21" ht="13.5" customHeight="1" spans="1:13">
      <c r="A21" s="53" t="s">
        <v>38</v>
      </c>
      <c r="B21" s="34">
        <f>SUM(C21:F21)</f>
        <v>30</v>
      </c>
      <c r="C21" s="34">
        <v>5</v>
      </c>
      <c r="D21" s="34">
        <v>7</v>
      </c>
      <c r="E21" s="34">
        <v>8</v>
      </c>
      <c r="F21" s="34">
        <v>10</v>
      </c>
      <c r="G21" s="38">
        <v>3.5</v>
      </c>
      <c r="H21" s="35">
        <v>6.5</v>
      </c>
      <c r="I21" s="35">
        <v>3</v>
      </c>
      <c r="J21" s="35">
        <v>11</v>
      </c>
      <c r="K21" s="35">
        <f>SUM(G21:J21)</f>
        <v>24</v>
      </c>
      <c r="L21" s="48">
        <f>+((C21+D21+E21+F21)-(G21+H21+I21+J21))*-1</f>
        <v>-6</v>
      </c>
      <c r="M21" s="35"/>
    </row>
    <row r="22" spans="1:13">
      <c r="A22" s="54" t="s">
        <v>39</v>
      </c>
      <c r="B22" s="147">
        <f>SUM(B8:B21)</f>
        <v>170</v>
      </c>
      <c r="C22" s="147">
        <f>SUM(C8:C21)</f>
        <v>31</v>
      </c>
      <c r="D22" s="147">
        <f t="shared" ref="D22:M22" si="3">SUM(D8:D21)</f>
        <v>35</v>
      </c>
      <c r="E22" s="147">
        <f>SUM(E8:E21)</f>
        <v>48</v>
      </c>
      <c r="F22" s="147">
        <f>SUM(F8:F21)</f>
        <v>56</v>
      </c>
      <c r="G22" s="147">
        <f>SUM(G8:G21)</f>
        <v>39</v>
      </c>
      <c r="H22" s="147">
        <f>SUM(H8:H21)</f>
        <v>25.5</v>
      </c>
      <c r="I22" s="147">
        <f>SUM(I8:I21)</f>
        <v>43.5</v>
      </c>
      <c r="J22" s="147">
        <f>SUM(J8:J21)</f>
        <v>50.5</v>
      </c>
      <c r="K22" s="108">
        <f>SUM(G22:J22)</f>
        <v>158.5</v>
      </c>
      <c r="L22" s="48">
        <f>+((C22+D22+E22+F22)-(G22+H22+I22+J22))*-1</f>
        <v>-11.5</v>
      </c>
      <c r="M22" s="147">
        <f>SUM(M8:M21)</f>
        <v>283</v>
      </c>
    </row>
    <row r="23" spans="1:15">
      <c r="A23" s="148" t="s">
        <v>40</v>
      </c>
      <c r="B23" s="149"/>
      <c r="C23" s="23" t="s">
        <v>14</v>
      </c>
      <c r="D23" s="23"/>
      <c r="E23" s="23"/>
      <c r="F23" s="24"/>
      <c r="G23" s="11" t="s">
        <v>15</v>
      </c>
      <c r="H23" s="23"/>
      <c r="I23" s="23"/>
      <c r="J23" s="24"/>
      <c r="K23" s="63"/>
      <c r="L23" s="64"/>
      <c r="M23" s="107"/>
      <c r="N23" s="89"/>
      <c r="O23" s="90"/>
    </row>
    <row r="24" ht="25.5" spans="1:15">
      <c r="A24" s="25" t="s">
        <v>16</v>
      </c>
      <c r="B24" s="25" t="s">
        <v>17</v>
      </c>
      <c r="C24" s="25" t="s">
        <v>18</v>
      </c>
      <c r="D24" s="25" t="s">
        <v>19</v>
      </c>
      <c r="E24" s="25" t="s">
        <v>20</v>
      </c>
      <c r="F24" s="25" t="s">
        <v>57</v>
      </c>
      <c r="G24" s="25" t="s">
        <v>18</v>
      </c>
      <c r="H24" s="25" t="s">
        <v>19</v>
      </c>
      <c r="I24" s="25" t="s">
        <v>64</v>
      </c>
      <c r="J24" s="25" t="s">
        <v>65</v>
      </c>
      <c r="K24" s="25" t="s">
        <v>22</v>
      </c>
      <c r="L24" s="25" t="s">
        <v>41</v>
      </c>
      <c r="M24" s="47" t="s">
        <v>42</v>
      </c>
      <c r="N24" s="89"/>
      <c r="O24" s="90"/>
    </row>
    <row r="25" ht="12" customHeight="1" spans="1:15">
      <c r="A25" s="29" t="s">
        <v>25</v>
      </c>
      <c r="B25" s="48">
        <f>SUM(C25:F25)</f>
        <v>9</v>
      </c>
      <c r="C25" s="35">
        <v>1</v>
      </c>
      <c r="D25" s="34">
        <v>2</v>
      </c>
      <c r="E25" s="34">
        <v>2.5</v>
      </c>
      <c r="F25" s="34">
        <v>3.5</v>
      </c>
      <c r="G25" s="49">
        <f>(16700+34100+20200+22800+29200+23700)/100000</f>
        <v>1.467</v>
      </c>
      <c r="H25" s="50">
        <f>(16000+30500+26700+17500+101200+22500)/100000</f>
        <v>2.144</v>
      </c>
      <c r="I25" s="50">
        <f>(36200+25800+25505+23100+20750+43700+14800)/100000</f>
        <v>1.89855</v>
      </c>
      <c r="J25" s="50">
        <f>(79200+64650+13750+28000+9800+16000+75550)/100000</f>
        <v>2.8695</v>
      </c>
      <c r="K25" s="50">
        <f t="shared" ref="K25:K37" si="4">SUM(G25:J25)</f>
        <v>8.37905</v>
      </c>
      <c r="L25" s="50">
        <f>+((C25+D25+E25+F25)-(G25+H25+I25+J25))*-1</f>
        <v>-0.620950000000001</v>
      </c>
      <c r="M25" s="91">
        <f>+K25/B25</f>
        <v>0.931005555555556</v>
      </c>
      <c r="N25" s="89"/>
      <c r="O25" s="90"/>
    </row>
    <row r="26" spans="1:15">
      <c r="A26" s="29" t="s">
        <v>26</v>
      </c>
      <c r="B26" s="48">
        <f t="shared" ref="B26:B37" si="5">SUM(C26:F26)</f>
        <v>8.9</v>
      </c>
      <c r="C26" s="35">
        <v>1.75</v>
      </c>
      <c r="D26" s="34">
        <v>2.2</v>
      </c>
      <c r="E26" s="34">
        <v>2.2</v>
      </c>
      <c r="F26" s="34">
        <v>2.75</v>
      </c>
      <c r="G26" s="129">
        <f>(9400+16500+18800+26900+12300+13500)/100000</f>
        <v>0.974</v>
      </c>
      <c r="H26" s="130">
        <f>(24200+98300+39300+33200+36500+41200)/100000</f>
        <v>2.727</v>
      </c>
      <c r="I26" s="50">
        <f>(22900+37500+23900+23200+63100+25800+25700)/100000</f>
        <v>2.221</v>
      </c>
      <c r="J26" s="134">
        <f>(86900+48400+29350+18300+22000+55300+31400)/100000</f>
        <v>2.9165</v>
      </c>
      <c r="K26" s="50">
        <f>SUM(G26:J26)</f>
        <v>8.8385</v>
      </c>
      <c r="L26" s="50">
        <f t="shared" ref="L26:L38" si="6">+((C26+D26+E26+F26)-(G26+H26+I26+J26))*-1</f>
        <v>-0.0615000000000006</v>
      </c>
      <c r="M26" s="91">
        <f>+K26/B26</f>
        <v>0.993089887640449</v>
      </c>
      <c r="N26" s="92"/>
      <c r="O26" s="93"/>
    </row>
    <row r="27" spans="1:15">
      <c r="A27" s="29" t="s">
        <v>27</v>
      </c>
      <c r="B27" s="48">
        <f>SUM(C27:F27)</f>
        <v>6</v>
      </c>
      <c r="C27" s="34">
        <v>0.7</v>
      </c>
      <c r="D27" s="34">
        <v>1.75</v>
      </c>
      <c r="E27" s="34">
        <v>1.25</v>
      </c>
      <c r="F27" s="34">
        <v>2.3</v>
      </c>
      <c r="G27" s="129">
        <f>(6700+7900+21050+34800+11700+36000)/100000</f>
        <v>1.1815</v>
      </c>
      <c r="H27" s="50">
        <f>(16500+3900+4600+46900+6700+20300)/100000</f>
        <v>0.989</v>
      </c>
      <c r="I27" s="50">
        <f>(13600+8100+6000+13200+21000+7500+11100)/100000</f>
        <v>0.805</v>
      </c>
      <c r="J27" s="134">
        <f>(50650+47500+10200+28995+20200+7300+21000)/100000</f>
        <v>1.85845</v>
      </c>
      <c r="K27" s="50">
        <f>SUM(G27:J27)</f>
        <v>4.83395</v>
      </c>
      <c r="L27" s="50">
        <f>+((C27+D27+E27+F27)-(G27+H27+I27+J27))*-1</f>
        <v>-1.16605</v>
      </c>
      <c r="M27" s="91">
        <f t="shared" ref="M27:M38" si="7">+K27/B27</f>
        <v>0.805658333333333</v>
      </c>
      <c r="N27" s="92"/>
      <c r="O27" s="93"/>
    </row>
    <row r="28" spans="1:15">
      <c r="A28" s="29" t="s">
        <v>28</v>
      </c>
      <c r="B28" s="48">
        <f>SUM(C28:F28)</f>
        <v>5.5</v>
      </c>
      <c r="C28" s="34">
        <v>0.75</v>
      </c>
      <c r="D28" s="34">
        <v>1.25</v>
      </c>
      <c r="E28" s="34">
        <v>1</v>
      </c>
      <c r="F28" s="34">
        <v>2.5</v>
      </c>
      <c r="G28" s="129">
        <f>(11000+4000+20050+13199+16050+17900)/100000</f>
        <v>0.82199</v>
      </c>
      <c r="H28" s="140">
        <f>(29700+21060+19000+36700+14310+25010)/100000</f>
        <v>1.4578</v>
      </c>
      <c r="I28" s="50">
        <f>(16300+15900+16800+11900+17400+14700+16700)/100000</f>
        <v>1.097</v>
      </c>
      <c r="J28" s="134">
        <f>(17700+25300+13500+18500+42800+17450+36250)/100000</f>
        <v>1.715</v>
      </c>
      <c r="K28" s="50">
        <f>SUM(G28:J28)</f>
        <v>5.09179</v>
      </c>
      <c r="L28" s="50">
        <f>+((C28+D28+E28+F28)-(G28+H28+I28+J28))*-1</f>
        <v>-0.40821</v>
      </c>
      <c r="M28" s="91">
        <f>+K28/B28</f>
        <v>0.92578</v>
      </c>
      <c r="N28" s="92"/>
      <c r="O28" s="93"/>
    </row>
    <row r="29" spans="1:15">
      <c r="A29" s="29" t="s">
        <v>29</v>
      </c>
      <c r="B29" s="48">
        <f>SUM(C29:F29)</f>
        <v>2</v>
      </c>
      <c r="C29" s="34">
        <v>0.4</v>
      </c>
      <c r="D29" s="34">
        <v>0.6</v>
      </c>
      <c r="E29" s="34">
        <v>0.3</v>
      </c>
      <c r="F29" s="34">
        <v>0.7</v>
      </c>
      <c r="G29" s="129">
        <f>(11000+13800)/100000</f>
        <v>0.248</v>
      </c>
      <c r="H29" s="50">
        <f>(26200+1200)/100000</f>
        <v>0.274</v>
      </c>
      <c r="I29" s="50">
        <f>(10000+20000+24400)/100000</f>
        <v>0.544</v>
      </c>
      <c r="J29" s="134">
        <f>(21000+20800+11000+10000)/100000</f>
        <v>0.628</v>
      </c>
      <c r="K29" s="50">
        <f>SUM(G29:J29)</f>
        <v>1.694</v>
      </c>
      <c r="L29" s="50">
        <f>+((C29+D29+E29+F29)-(G29+H29+I29+J29))*-1</f>
        <v>-0.306</v>
      </c>
      <c r="M29" s="91">
        <f>+K29/B29</f>
        <v>0.847</v>
      </c>
      <c r="N29" s="92"/>
      <c r="O29" s="93"/>
    </row>
    <row r="30" spans="1:15">
      <c r="A30" s="51" t="s">
        <v>30</v>
      </c>
      <c r="B30" s="48">
        <f>SUM(C30:F30)</f>
        <v>5.5</v>
      </c>
      <c r="C30" s="35">
        <v>1.1</v>
      </c>
      <c r="D30" s="52">
        <v>1.1</v>
      </c>
      <c r="E30" s="52">
        <v>1.3</v>
      </c>
      <c r="F30" s="52">
        <v>2</v>
      </c>
      <c r="G30" s="129">
        <f>(34000+11400+9400+28201+22000)/100000</f>
        <v>1.05001</v>
      </c>
      <c r="H30" s="50">
        <f>(58200+17600+27000)/100000</f>
        <v>1.028</v>
      </c>
      <c r="I30" s="50">
        <f>(26400+7200+42300+8800)/100000</f>
        <v>0.847</v>
      </c>
      <c r="J30" s="134">
        <f>(31400+101200+20000+59300)/100000</f>
        <v>2.119</v>
      </c>
      <c r="K30" s="50">
        <f>SUM(G30:J30)</f>
        <v>5.04401</v>
      </c>
      <c r="L30" s="50">
        <f>+((C30+D30+E30+F30)-(G30+H30+I30+J30))*-1</f>
        <v>-0.45599</v>
      </c>
      <c r="M30" s="91">
        <f>+K30/B30</f>
        <v>0.917092727272727</v>
      </c>
      <c r="N30" s="94"/>
      <c r="O30" s="95"/>
    </row>
    <row r="31" spans="1:15">
      <c r="A31" s="51" t="s">
        <v>31</v>
      </c>
      <c r="B31" s="48">
        <f>SUM(C31:F31)</f>
        <v>6</v>
      </c>
      <c r="C31" s="35">
        <v>1.3</v>
      </c>
      <c r="D31" s="52">
        <v>1.65</v>
      </c>
      <c r="E31" s="52">
        <v>1.35</v>
      </c>
      <c r="F31" s="52">
        <v>1.7</v>
      </c>
      <c r="G31" s="129">
        <f>(15300+19400+23400+20500+23300+23650)/100000</f>
        <v>1.2555</v>
      </c>
      <c r="H31" s="50">
        <f>(17300+7450+10200+32850+33445+18200)/100000</f>
        <v>1.19445</v>
      </c>
      <c r="I31" s="50">
        <f>(23500+17800+27700+22300+32700+23300+16300)/100000</f>
        <v>1.636</v>
      </c>
      <c r="J31" s="134">
        <f>(54900+32800+34100+22900+17750+12300+19100)/100000</f>
        <v>1.9385</v>
      </c>
      <c r="K31" s="50">
        <f>SUM(G31:J31)</f>
        <v>6.02445</v>
      </c>
      <c r="L31" s="50">
        <f>+((C31+D31+E31+F31)-(G31+H31+I31+J31))*-1</f>
        <v>0.024449999999999</v>
      </c>
      <c r="M31" s="91">
        <f>+K31/B31</f>
        <v>1.004075</v>
      </c>
      <c r="N31" s="92"/>
      <c r="O31" s="93"/>
    </row>
    <row r="32" spans="1:15">
      <c r="A32" s="51" t="s">
        <v>32</v>
      </c>
      <c r="B32" s="48">
        <f>SUM(C32:F32)</f>
        <v>6.15</v>
      </c>
      <c r="C32" s="35">
        <v>1.3</v>
      </c>
      <c r="D32" s="52">
        <v>1.3</v>
      </c>
      <c r="E32" s="52">
        <v>1.25</v>
      </c>
      <c r="F32" s="52">
        <v>2.3</v>
      </c>
      <c r="G32" s="129">
        <f>(13600+15900+16650+25200+29800+14050)/100000</f>
        <v>1.152</v>
      </c>
      <c r="H32" s="50">
        <f>(19150+24000+15100+29950+32250+13850)/100000</f>
        <v>1.343</v>
      </c>
      <c r="I32" s="50">
        <f>(13500+19900+16100+33000+28737+26400+16800)/100000</f>
        <v>1.54437</v>
      </c>
      <c r="J32" s="134">
        <f>(21150+30500+38550+26700+39500+37050+44800)/100000</f>
        <v>2.3825</v>
      </c>
      <c r="K32" s="50">
        <f>SUM(G32:J32)</f>
        <v>6.42187</v>
      </c>
      <c r="L32" s="50">
        <f>+((C32+D32+E32+F32)-(G32+H32+I32+J32))*-1</f>
        <v>0.27187</v>
      </c>
      <c r="M32" s="91">
        <f>+K32/B32</f>
        <v>1.04420650406504</v>
      </c>
      <c r="N32" s="92"/>
      <c r="O32" s="93"/>
    </row>
    <row r="33" spans="1:15">
      <c r="A33" s="51" t="s">
        <v>34</v>
      </c>
      <c r="B33" s="48">
        <f>SUM(C33:F33)</f>
        <v>3.95</v>
      </c>
      <c r="C33" s="35">
        <v>0.7</v>
      </c>
      <c r="D33" s="52">
        <v>0.8</v>
      </c>
      <c r="E33" s="52">
        <v>1.2</v>
      </c>
      <c r="F33" s="52">
        <v>1.25</v>
      </c>
      <c r="G33" s="129">
        <f>(18400+8500+16200+17100+10700+7400)/100000</f>
        <v>0.783</v>
      </c>
      <c r="H33" s="50">
        <f>(10900+24400+11200+10100+11300+29400)/100000</f>
        <v>0.973</v>
      </c>
      <c r="I33" s="50">
        <f>(11750+14200+15300+13800+31000+13900+17200)/100000</f>
        <v>1.1715</v>
      </c>
      <c r="J33" s="134">
        <f>(17800+41100+22900+11300+10700+11000+12950)/100000</f>
        <v>1.2775</v>
      </c>
      <c r="K33" s="50">
        <f>SUM(G33:J33)</f>
        <v>4.205</v>
      </c>
      <c r="L33" s="50">
        <f>+((C33+D33+E33+F33)-(G33+H33+I33+J33))*-1</f>
        <v>0.255</v>
      </c>
      <c r="M33" s="91">
        <f>+K33/B33</f>
        <v>1.06455696202532</v>
      </c>
      <c r="N33" s="92"/>
      <c r="O33" s="93"/>
    </row>
    <row r="34" spans="1:15">
      <c r="A34" s="51" t="s">
        <v>51</v>
      </c>
      <c r="B34" s="48">
        <f>SUM(C34:F34)</f>
        <v>5.5</v>
      </c>
      <c r="C34" s="35">
        <v>1.1</v>
      </c>
      <c r="D34" s="52">
        <v>1.15</v>
      </c>
      <c r="E34" s="52">
        <v>1.25</v>
      </c>
      <c r="F34" s="52">
        <v>2</v>
      </c>
      <c r="G34" s="129">
        <f>(9900+12600+22800+14700+21296+24900)/100000</f>
        <v>1.06196</v>
      </c>
      <c r="H34" s="50">
        <f>(11400+25000+20500+19500+16400+15600)/100000</f>
        <v>1.084</v>
      </c>
      <c r="I34" s="50">
        <f>(16700+17700+19100+24400+19600+16800+15400)/100000</f>
        <v>1.297</v>
      </c>
      <c r="J34" s="134">
        <f>(22900+24500+19500+16400+28000+29000+29700)/100000</f>
        <v>1.7</v>
      </c>
      <c r="K34" s="50">
        <f>SUM(G34:J34)</f>
        <v>5.14296</v>
      </c>
      <c r="L34" s="50">
        <f>+((C34+D34+E34+F34)-(G34+H34+I34+J34))*-1</f>
        <v>-0.35704</v>
      </c>
      <c r="M34" s="91">
        <f>+K34/B34</f>
        <v>0.935083636363637</v>
      </c>
      <c r="N34" s="92"/>
      <c r="O34" s="93"/>
    </row>
    <row r="35" spans="1:15">
      <c r="A35" s="53" t="s">
        <v>37</v>
      </c>
      <c r="B35" s="48">
        <f>SUM(C35:F35)</f>
        <v>1.5</v>
      </c>
      <c r="C35" s="35">
        <v>0.25</v>
      </c>
      <c r="D35" s="52">
        <v>0.25</v>
      </c>
      <c r="E35" s="52">
        <v>0.25</v>
      </c>
      <c r="F35" s="52">
        <v>0.75</v>
      </c>
      <c r="G35" s="129">
        <f>(17600+17600+28600)/100000</f>
        <v>0.638</v>
      </c>
      <c r="H35" s="50">
        <f>(8800+2500+12000)/100000</f>
        <v>0.233</v>
      </c>
      <c r="I35" s="50">
        <f>(27600)/100000</f>
        <v>0.276</v>
      </c>
      <c r="J35" s="134">
        <f>(12700+4400+2200)/100000</f>
        <v>0.193</v>
      </c>
      <c r="K35" s="50">
        <f>SUM(G35:J35)</f>
        <v>1.34</v>
      </c>
      <c r="L35" s="50">
        <f>+((C35+D35+E35+F35)-(G35+H35+I35+J35))*-1</f>
        <v>-0.16</v>
      </c>
      <c r="M35" s="91">
        <f>+K35/B35</f>
        <v>0.893333333333333</v>
      </c>
      <c r="N35" s="92"/>
      <c r="O35" s="93"/>
    </row>
    <row r="36" spans="1:15">
      <c r="A36" s="53" t="s">
        <v>35</v>
      </c>
      <c r="B36" s="48">
        <f>SUM(C36:F36)</f>
        <v>3</v>
      </c>
      <c r="C36" s="35">
        <v>0.75</v>
      </c>
      <c r="D36" s="52">
        <v>0.5</v>
      </c>
      <c r="E36" s="52">
        <v>0.75</v>
      </c>
      <c r="F36" s="52">
        <v>1</v>
      </c>
      <c r="G36" s="129"/>
      <c r="H36" s="50">
        <f>(26400)/100000</f>
        <v>0.264</v>
      </c>
      <c r="I36" s="50">
        <f>(33940+17600)/100000</f>
        <v>0.5154</v>
      </c>
      <c r="J36" s="134">
        <f>(42200+107400)/100000</f>
        <v>1.496</v>
      </c>
      <c r="K36" s="50">
        <f>SUM(G36:J36)</f>
        <v>2.2754</v>
      </c>
      <c r="L36" s="50">
        <f>+((C36+D36+E36+F36)-(G36+H36+I36+J36))*-1</f>
        <v>-0.7246</v>
      </c>
      <c r="M36" s="91">
        <f>+K36/B36</f>
        <v>0.758466666666667</v>
      </c>
      <c r="N36" s="92"/>
      <c r="O36" s="93"/>
    </row>
    <row r="37" spans="1:15">
      <c r="A37" s="53" t="s">
        <v>38</v>
      </c>
      <c r="B37" s="48">
        <f>SUM(C37:F37)</f>
        <v>11</v>
      </c>
      <c r="C37" s="35">
        <v>1.8</v>
      </c>
      <c r="D37" s="52">
        <v>2.25</v>
      </c>
      <c r="E37" s="52">
        <v>3.6</v>
      </c>
      <c r="F37" s="52">
        <v>3.35</v>
      </c>
      <c r="G37" s="129">
        <f>(2200+23470+53800+33729+62400+70900)/100000</f>
        <v>2.46499</v>
      </c>
      <c r="H37" s="50">
        <f>(17650+46740+33200+8800+6605+18793)/100000</f>
        <v>1.31788</v>
      </c>
      <c r="I37" s="50">
        <f>(25200+2000+21950+110270+11400+57680+31100+43100)/100000</f>
        <v>3.027</v>
      </c>
      <c r="J37" s="134">
        <f>(34900+68837+44775+12940+34100+13040+115200)/100000</f>
        <v>3.23792</v>
      </c>
      <c r="K37" s="50">
        <f>SUM(G37:J37)</f>
        <v>10.04779</v>
      </c>
      <c r="L37" s="50">
        <f>+((C37+D37+E37+F37)-(G37+H37+I37+J37))*-1</f>
        <v>-0.952210000000001</v>
      </c>
      <c r="M37" s="91">
        <f>+K37/B37</f>
        <v>0.913435454545455</v>
      </c>
      <c r="N37" s="92"/>
      <c r="O37" s="93"/>
    </row>
    <row r="38" spans="1:15">
      <c r="A38" s="54" t="s">
        <v>44</v>
      </c>
      <c r="B38" s="48">
        <f t="shared" ref="B38:K38" si="8">SUM(B25:B37)</f>
        <v>74</v>
      </c>
      <c r="C38" s="35">
        <f>SUM(C25:C37)</f>
        <v>12.9</v>
      </c>
      <c r="D38" s="48">
        <f>SUM(D25:D37)</f>
        <v>16.8</v>
      </c>
      <c r="E38" s="48">
        <f>SUM(E25:E37)</f>
        <v>18.2</v>
      </c>
      <c r="F38" s="48">
        <f>SUM(F25:F37)</f>
        <v>26.1</v>
      </c>
      <c r="G38" s="131">
        <f>SUM(G25:G37)</f>
        <v>13.09795</v>
      </c>
      <c r="H38" s="50">
        <f>SUM(H25:H37)</f>
        <v>15.02913</v>
      </c>
      <c r="I38" s="50">
        <f>SUM(I25:I37)</f>
        <v>16.87982</v>
      </c>
      <c r="J38" s="134">
        <f>SUM(J25:J37)</f>
        <v>24.33187</v>
      </c>
      <c r="K38" s="135">
        <f>SUM(K25:K37)</f>
        <v>69.33877</v>
      </c>
      <c r="L38" s="50">
        <f>+((C38+D38+E38+F38)-(G38+H38+I38+J38))*-1</f>
        <v>-4.66123</v>
      </c>
      <c r="M38" s="154">
        <f>+K38/B38</f>
        <v>0.937010405405405</v>
      </c>
      <c r="N38" s="92"/>
      <c r="O38" s="93"/>
    </row>
    <row r="39" spans="1:15">
      <c r="A39" s="55"/>
      <c r="B39" s="56"/>
      <c r="C39" s="57"/>
      <c r="D39" s="57"/>
      <c r="N39" s="94"/>
      <c r="O39" s="95"/>
    </row>
    <row r="40" spans="14:15">
      <c r="N40" s="92"/>
      <c r="O40" s="93"/>
    </row>
    <row r="41" spans="14:15">
      <c r="N41" s="92"/>
      <c r="O41" s="93"/>
    </row>
    <row r="42" spans="14:15">
      <c r="N42" s="92"/>
      <c r="O42" s="93"/>
    </row>
    <row r="43" spans="14:15">
      <c r="N43" s="92"/>
      <c r="O43" s="93"/>
    </row>
    <row r="44" spans="14:15">
      <c r="N44" s="92"/>
      <c r="O44" s="93"/>
    </row>
    <row r="45" spans="14:15">
      <c r="N45" s="92"/>
      <c r="O45" s="93"/>
    </row>
    <row r="46" spans="14:15">
      <c r="N46" s="92"/>
      <c r="O46" s="93"/>
    </row>
    <row r="47" spans="14:15">
      <c r="N47" s="92"/>
      <c r="O47" s="93"/>
    </row>
    <row r="48" spans="14:15">
      <c r="N48" s="92"/>
      <c r="O48" s="93"/>
    </row>
    <row r="49" spans="14:15">
      <c r="N49" s="94"/>
      <c r="O49" s="95"/>
    </row>
    <row r="50" spans="14:15">
      <c r="N50" s="92"/>
      <c r="O50" s="93"/>
    </row>
    <row r="51" spans="14:15">
      <c r="N51" s="92"/>
      <c r="O51" s="93"/>
    </row>
    <row r="52" spans="14:15">
      <c r="N52" s="92"/>
      <c r="O52" s="93"/>
    </row>
    <row r="53" spans="14:15">
      <c r="N53" s="92"/>
      <c r="O53" s="93"/>
    </row>
    <row r="54" spans="14:15">
      <c r="N54" s="92"/>
      <c r="O54" s="93"/>
    </row>
    <row r="55" spans="14:15">
      <c r="N55" s="92"/>
      <c r="O55" s="93"/>
    </row>
    <row r="56" spans="14:15">
      <c r="N56" s="92"/>
      <c r="O56" s="93"/>
    </row>
    <row r="57" spans="14:15">
      <c r="N57" s="94"/>
      <c r="O57" s="95"/>
    </row>
    <row r="58" spans="14:15">
      <c r="N58" s="92"/>
      <c r="O58" s="93"/>
    </row>
    <row r="59" spans="14:15">
      <c r="N59" s="92"/>
      <c r="O59" s="93"/>
    </row>
    <row r="60" spans="14:15">
      <c r="N60" s="92"/>
      <c r="O60" s="93"/>
    </row>
    <row r="61" spans="14:15">
      <c r="N61" s="92"/>
      <c r="O61" s="93"/>
    </row>
    <row r="62" spans="14:15">
      <c r="N62" s="92"/>
      <c r="O62" s="93"/>
    </row>
    <row r="63" spans="14:15">
      <c r="N63" s="92"/>
      <c r="O63" s="93"/>
    </row>
    <row r="64" spans="14:15">
      <c r="N64" s="92"/>
      <c r="O64" s="93"/>
    </row>
    <row r="65" spans="14:15">
      <c r="N65" s="92"/>
      <c r="O65" s="96"/>
    </row>
  </sheetData>
  <mergeCells count="6">
    <mergeCell ref="B1:M1"/>
    <mergeCell ref="D5:F5"/>
    <mergeCell ref="C6:F6"/>
    <mergeCell ref="G6:J6"/>
    <mergeCell ref="C23:F23"/>
    <mergeCell ref="G23:J23"/>
  </mergeCells>
  <pageMargins left="0.699305555555556" right="0.699305555555556" top="0.75" bottom="0.75" header="0.3" footer="0.3"/>
  <pageSetup paperSize="9" scale="90" orientation="landscape" verticalDpi="18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5"/>
  <sheetViews>
    <sheetView topLeftCell="A15" workbookViewId="0">
      <selection activeCell="A1" sqref="A1:M52"/>
    </sheetView>
  </sheetViews>
  <sheetFormatPr defaultColWidth="9" defaultRowHeight="15"/>
  <cols>
    <col min="1" max="1" width="18.8571428571429" style="1" customWidth="1"/>
    <col min="2" max="2" width="10.1428571428571" style="2" customWidth="1"/>
    <col min="3" max="3" width="9.42857142857143" style="1" customWidth="1"/>
    <col min="4" max="5" width="9.71428571428571" style="1" customWidth="1"/>
    <col min="6" max="6" width="10.2857142857143" style="1" customWidth="1"/>
    <col min="7" max="7" width="10.1428571428571" style="1" customWidth="1"/>
    <col min="8" max="8" width="10.2857142857143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customHeight="1" spans="1:13">
      <c r="A1" s="160" t="s">
        <v>66</v>
      </c>
      <c r="B1" s="119" t="s">
        <v>67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ht="14.25" customHeight="1" spans="1:13">
      <c r="A2" s="6" t="s">
        <v>2</v>
      </c>
      <c r="B2" s="7">
        <f>+K22</f>
        <v>152</v>
      </c>
      <c r="C2" s="8"/>
      <c r="D2" s="8"/>
      <c r="E2" s="8"/>
      <c r="F2" s="8"/>
      <c r="G2" s="8"/>
      <c r="H2" s="8"/>
      <c r="I2" s="8"/>
      <c r="J2" s="8"/>
      <c r="K2" s="8"/>
      <c r="L2" s="8"/>
      <c r="M2" s="104"/>
    </row>
    <row r="3" ht="13.5" customHeight="1" spans="1:13">
      <c r="A3" s="6" t="s">
        <v>3</v>
      </c>
      <c r="B3" s="7">
        <f>+M22</f>
        <v>271</v>
      </c>
      <c r="C3" s="8"/>
      <c r="D3" s="8"/>
      <c r="E3" s="8"/>
      <c r="F3" s="8"/>
      <c r="G3" s="8"/>
      <c r="H3" s="8"/>
      <c r="I3" s="8"/>
      <c r="J3" s="8"/>
      <c r="K3" s="8"/>
      <c r="L3" s="8"/>
      <c r="M3" s="104"/>
    </row>
    <row r="4" ht="13.5" customHeight="1" spans="1:13">
      <c r="A4" s="6" t="s">
        <v>68</v>
      </c>
      <c r="B4" s="11"/>
      <c r="C4" s="12"/>
      <c r="D4" s="13" t="s">
        <v>5</v>
      </c>
      <c r="E4" s="12">
        <v>6.5</v>
      </c>
      <c r="F4" s="12"/>
      <c r="G4" s="14" t="s">
        <v>69</v>
      </c>
      <c r="H4" s="155"/>
      <c r="I4" s="12" t="s">
        <v>7</v>
      </c>
      <c r="J4" s="13">
        <f>+K38</f>
        <v>74.67411</v>
      </c>
      <c r="K4" s="12" t="s">
        <v>8</v>
      </c>
      <c r="L4" s="12" t="s">
        <v>70</v>
      </c>
      <c r="M4" s="106"/>
    </row>
    <row r="5" ht="12.75" customHeight="1" spans="1:13">
      <c r="A5" s="16" t="s">
        <v>10</v>
      </c>
      <c r="B5" s="17" t="s">
        <v>71</v>
      </c>
      <c r="C5" s="18" t="s">
        <v>72</v>
      </c>
      <c r="D5" s="19">
        <v>6546250</v>
      </c>
      <c r="E5" s="19"/>
      <c r="F5" s="19"/>
      <c r="G5" s="20"/>
      <c r="H5" s="21"/>
      <c r="I5" s="62"/>
      <c r="J5" s="62"/>
      <c r="K5" s="62"/>
      <c r="L5" s="62"/>
      <c r="M5" s="105"/>
    </row>
    <row r="6" ht="12" customHeight="1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3.25" customHeight="1" spans="1:13">
      <c r="A7" s="25" t="s">
        <v>16</v>
      </c>
      <c r="B7" s="25" t="s">
        <v>17</v>
      </c>
      <c r="C7" s="25" t="s">
        <v>18</v>
      </c>
      <c r="D7" s="25" t="s">
        <v>19</v>
      </c>
      <c r="E7" s="25" t="s">
        <v>20</v>
      </c>
      <c r="F7" s="25" t="s">
        <v>56</v>
      </c>
      <c r="G7" s="25" t="s">
        <v>18</v>
      </c>
      <c r="H7" s="25" t="s">
        <v>73</v>
      </c>
      <c r="I7" s="25" t="s">
        <v>74</v>
      </c>
      <c r="J7" s="25" t="s">
        <v>75</v>
      </c>
      <c r="K7" s="25" t="s">
        <v>22</v>
      </c>
      <c r="L7" s="25" t="s">
        <v>23</v>
      </c>
      <c r="M7" s="25" t="s">
        <v>24</v>
      </c>
    </row>
    <row r="8" customHeight="1" spans="1:13">
      <c r="A8" s="29" t="s">
        <v>25</v>
      </c>
      <c r="B8" s="34">
        <f>SUM(C8:F8)</f>
        <v>15</v>
      </c>
      <c r="C8" s="34">
        <v>2</v>
      </c>
      <c r="D8" s="34">
        <v>3</v>
      </c>
      <c r="E8" s="34">
        <v>5</v>
      </c>
      <c r="F8" s="34">
        <v>5</v>
      </c>
      <c r="G8" s="48"/>
      <c r="H8" s="48">
        <v>5</v>
      </c>
      <c r="I8" s="48">
        <v>1</v>
      </c>
      <c r="J8" s="48">
        <v>4</v>
      </c>
      <c r="K8" s="48">
        <f t="shared" ref="K8:K22" si="0">SUM(G8:J8)</f>
        <v>10</v>
      </c>
      <c r="L8" s="48">
        <f>+((C8+D8+E8+F8)-(G8+H8+I8+J8))*-1</f>
        <v>-5</v>
      </c>
      <c r="M8" s="48">
        <v>3</v>
      </c>
    </row>
    <row r="9" ht="13.5" customHeight="1" spans="1:13">
      <c r="A9" s="29" t="s">
        <v>26</v>
      </c>
      <c r="B9" s="34">
        <f t="shared" ref="B9:B21" si="1">SUM(C9:F9)</f>
        <v>15</v>
      </c>
      <c r="C9" s="34">
        <v>5</v>
      </c>
      <c r="D9" s="34">
        <v>3</v>
      </c>
      <c r="E9" s="34">
        <v>5</v>
      </c>
      <c r="F9" s="34">
        <v>2</v>
      </c>
      <c r="G9" s="48">
        <v>6</v>
      </c>
      <c r="H9" s="48">
        <v>6</v>
      </c>
      <c r="I9" s="48">
        <v>3</v>
      </c>
      <c r="J9" s="48"/>
      <c r="K9" s="48">
        <f>SUM(G9:J9)</f>
        <v>15</v>
      </c>
      <c r="L9" s="48">
        <f t="shared" ref="L9:L22" si="2">+((C9+D9+E9+F9)-(G9+H9+I9+J9))*-1</f>
        <v>0</v>
      </c>
      <c r="M9" s="48">
        <v>23</v>
      </c>
    </row>
    <row r="10" ht="13.5" customHeight="1" spans="1:13">
      <c r="A10" s="29" t="s">
        <v>27</v>
      </c>
      <c r="B10" s="34">
        <f>SUM(C10:F10)</f>
        <v>12</v>
      </c>
      <c r="C10" s="34">
        <v>2</v>
      </c>
      <c r="D10" s="34">
        <v>3</v>
      </c>
      <c r="E10" s="34">
        <v>4</v>
      </c>
      <c r="F10" s="34">
        <v>3</v>
      </c>
      <c r="G10" s="48">
        <v>5</v>
      </c>
      <c r="H10" s="48">
        <v>2</v>
      </c>
      <c r="I10" s="48">
        <v>3</v>
      </c>
      <c r="J10" s="48">
        <v>2</v>
      </c>
      <c r="K10" s="48">
        <f>SUM(G10:J10)</f>
        <v>12</v>
      </c>
      <c r="L10" s="48">
        <f>+((C10+D10+E10+F10)-(G10+H10+I10+J10))*-1</f>
        <v>0</v>
      </c>
      <c r="M10" s="48">
        <v>48</v>
      </c>
    </row>
    <row r="11" spans="1:13">
      <c r="A11" s="29" t="s">
        <v>28</v>
      </c>
      <c r="B11" s="34">
        <f>SUM(C11:F11)</f>
        <v>12</v>
      </c>
      <c r="C11" s="34">
        <v>3</v>
      </c>
      <c r="D11" s="34">
        <v>2</v>
      </c>
      <c r="E11" s="34">
        <v>4</v>
      </c>
      <c r="F11" s="34">
        <v>3</v>
      </c>
      <c r="G11" s="48"/>
      <c r="H11" s="48">
        <v>0.5</v>
      </c>
      <c r="I11" s="48">
        <v>7</v>
      </c>
      <c r="J11" s="48">
        <v>6</v>
      </c>
      <c r="K11" s="48">
        <f>SUM(G11:J11)</f>
        <v>13.5</v>
      </c>
      <c r="L11" s="48">
        <f>+((C11+D11+E11+F11)-(G11+H11+I11+J11))*-1</f>
        <v>1.5</v>
      </c>
      <c r="M11" s="48">
        <v>74</v>
      </c>
    </row>
    <row r="12" ht="12.75" customHeight="1" spans="1:13">
      <c r="A12" s="29" t="s">
        <v>29</v>
      </c>
      <c r="B12" s="34">
        <f>SUM(C12:F12)</f>
        <v>10</v>
      </c>
      <c r="C12" s="34">
        <v>2</v>
      </c>
      <c r="D12" s="34">
        <v>2</v>
      </c>
      <c r="E12" s="34">
        <v>3</v>
      </c>
      <c r="F12" s="34">
        <v>3</v>
      </c>
      <c r="G12" s="48"/>
      <c r="H12" s="48">
        <v>2</v>
      </c>
      <c r="I12" s="48"/>
      <c r="J12" s="48">
        <v>6</v>
      </c>
      <c r="K12" s="48">
        <f>SUM(G12:J12)</f>
        <v>8</v>
      </c>
      <c r="L12" s="48">
        <f>+((C12+D12+E12+F12)-(G12+H12+I12+J12))*-1</f>
        <v>-2</v>
      </c>
      <c r="M12" s="48">
        <v>12</v>
      </c>
    </row>
    <row r="13" ht="14.25" customHeight="1" spans="1:13">
      <c r="A13" s="51" t="s">
        <v>30</v>
      </c>
      <c r="B13" s="34">
        <f>SUM(C13:F13)</f>
        <v>16</v>
      </c>
      <c r="C13" s="34">
        <v>4</v>
      </c>
      <c r="D13" s="34">
        <v>4</v>
      </c>
      <c r="E13" s="34">
        <v>4</v>
      </c>
      <c r="F13" s="34">
        <v>4</v>
      </c>
      <c r="G13" s="48">
        <v>11</v>
      </c>
      <c r="H13" s="48">
        <v>3.5</v>
      </c>
      <c r="I13" s="48">
        <v>1</v>
      </c>
      <c r="J13" s="48"/>
      <c r="K13" s="48">
        <f>SUM(G13:J13)</f>
        <v>15.5</v>
      </c>
      <c r="L13" s="48">
        <f>+((C13+D13+E13+F13)-(G13+H13+I13+J13))*-1</f>
        <v>-0.5</v>
      </c>
      <c r="M13" s="48">
        <v>9</v>
      </c>
    </row>
    <row r="14" ht="13.5" customHeight="1" spans="1:13">
      <c r="A14" s="51" t="s">
        <v>31</v>
      </c>
      <c r="B14" s="34">
        <f>SUM(C14:F14)</f>
        <v>10</v>
      </c>
      <c r="C14" s="34">
        <v>2</v>
      </c>
      <c r="D14" s="34">
        <v>2</v>
      </c>
      <c r="E14" s="34">
        <v>2</v>
      </c>
      <c r="F14" s="34">
        <v>4</v>
      </c>
      <c r="G14" s="48"/>
      <c r="H14" s="48">
        <v>1</v>
      </c>
      <c r="I14" s="48">
        <v>0</v>
      </c>
      <c r="J14" s="48">
        <v>9</v>
      </c>
      <c r="K14" s="48">
        <f>SUM(G14:J14)</f>
        <v>10</v>
      </c>
      <c r="L14" s="48">
        <f>+((C14+D14+E14+F14)-(G14+H14+I14+J14))*-1</f>
        <v>0</v>
      </c>
      <c r="M14" s="48">
        <v>8</v>
      </c>
    </row>
    <row r="15" ht="12" customHeight="1" spans="1:13">
      <c r="A15" s="51" t="s">
        <v>36</v>
      </c>
      <c r="B15" s="34">
        <f>SUM(C15:F15)</f>
        <v>10</v>
      </c>
      <c r="C15" s="34">
        <v>1</v>
      </c>
      <c r="D15" s="34">
        <v>2</v>
      </c>
      <c r="E15" s="34">
        <v>2</v>
      </c>
      <c r="F15" s="137">
        <v>5</v>
      </c>
      <c r="G15" s="48"/>
      <c r="H15" s="48">
        <v>1</v>
      </c>
      <c r="I15" s="138">
        <v>2</v>
      </c>
      <c r="J15" s="48">
        <v>7</v>
      </c>
      <c r="K15" s="48">
        <f>SUM(G15:J15)</f>
        <v>10</v>
      </c>
      <c r="L15" s="48">
        <f>+((C15+D15+E15+F15)-(G15+H15+I15+J15))*-1</f>
        <v>0</v>
      </c>
      <c r="M15" s="48">
        <v>29</v>
      </c>
    </row>
    <row r="16" ht="12" customHeight="1" spans="1:13">
      <c r="A16" s="51" t="s">
        <v>32</v>
      </c>
      <c r="B16" s="34">
        <f>SUM(C16:F16)</f>
        <v>10</v>
      </c>
      <c r="C16" s="34">
        <v>1</v>
      </c>
      <c r="D16" s="34">
        <v>2</v>
      </c>
      <c r="E16" s="34">
        <v>3</v>
      </c>
      <c r="F16" s="34">
        <v>4</v>
      </c>
      <c r="G16" s="48">
        <v>1</v>
      </c>
      <c r="H16" s="48">
        <v>1</v>
      </c>
      <c r="I16" s="48"/>
      <c r="J16" s="48">
        <v>8</v>
      </c>
      <c r="K16" s="48">
        <f>SUM(G16:J16)</f>
        <v>10</v>
      </c>
      <c r="L16" s="48">
        <f>+((C16+D16+E16+F16)-(G16+H16+I16+J16))*-1</f>
        <v>0</v>
      </c>
      <c r="M16" s="48">
        <v>10</v>
      </c>
    </row>
    <row r="17" ht="12" customHeight="1" spans="1:13">
      <c r="A17" s="51" t="s">
        <v>34</v>
      </c>
      <c r="B17" s="34">
        <f>SUM(C17:F17)</f>
        <v>5</v>
      </c>
      <c r="C17" s="34">
        <v>1</v>
      </c>
      <c r="D17" s="34">
        <v>1</v>
      </c>
      <c r="E17" s="34">
        <v>1</v>
      </c>
      <c r="F17" s="34">
        <v>2</v>
      </c>
      <c r="G17" s="48">
        <v>1</v>
      </c>
      <c r="H17" s="48">
        <v>1</v>
      </c>
      <c r="I17" s="48"/>
      <c r="J17" s="48">
        <v>5</v>
      </c>
      <c r="K17" s="48">
        <f>SUM(G17:J17)</f>
        <v>7</v>
      </c>
      <c r="L17" s="48">
        <f>+((C17+D17+E17+F17)-(G17+H17+I17+J17))*-1</f>
        <v>2</v>
      </c>
      <c r="M17" s="48">
        <v>7</v>
      </c>
    </row>
    <row r="18" ht="13.5" customHeight="1" spans="1:13">
      <c r="A18" s="53" t="s">
        <v>33</v>
      </c>
      <c r="B18" s="34">
        <f>SUM(C18:F18)</f>
        <v>10</v>
      </c>
      <c r="C18" s="34">
        <v>1</v>
      </c>
      <c r="D18" s="34">
        <v>2</v>
      </c>
      <c r="E18" s="34">
        <v>2</v>
      </c>
      <c r="F18" s="34">
        <v>5</v>
      </c>
      <c r="G18" s="35"/>
      <c r="H18" s="35">
        <v>4</v>
      </c>
      <c r="I18" s="35">
        <v>14</v>
      </c>
      <c r="J18" s="48">
        <v>1</v>
      </c>
      <c r="K18" s="35">
        <f>SUM(G18:J18)</f>
        <v>19</v>
      </c>
      <c r="L18" s="48">
        <f>+((C18+D18+E18+F18)-(G18+H18+I18+J18))*-1</f>
        <v>9</v>
      </c>
      <c r="M18" s="35">
        <v>34</v>
      </c>
    </row>
    <row r="19" customHeight="1" spans="1:13">
      <c r="A19" s="53" t="s">
        <v>35</v>
      </c>
      <c r="B19" s="34">
        <f>SUM(C19:F19)</f>
        <v>15</v>
      </c>
      <c r="C19" s="34">
        <v>2</v>
      </c>
      <c r="D19" s="34">
        <v>2</v>
      </c>
      <c r="E19" s="34">
        <v>5</v>
      </c>
      <c r="F19" s="34">
        <v>6</v>
      </c>
      <c r="G19" s="35"/>
      <c r="H19" s="35"/>
      <c r="I19" s="35"/>
      <c r="J19" s="35">
        <v>4</v>
      </c>
      <c r="K19" s="35">
        <f>SUM(G19:J19)</f>
        <v>4</v>
      </c>
      <c r="L19" s="48">
        <f>+((C19+D19+E19+F19)-(G19+H19+I19+J19))*-1</f>
        <v>-11</v>
      </c>
      <c r="M19" s="35">
        <v>4</v>
      </c>
    </row>
    <row r="20" ht="16.5" customHeight="1" spans="1:13">
      <c r="A20" s="53" t="s">
        <v>37</v>
      </c>
      <c r="B20" s="34"/>
      <c r="C20" s="34"/>
      <c r="D20" s="34"/>
      <c r="E20" s="34"/>
      <c r="F20" s="34"/>
      <c r="G20" s="35">
        <v>2</v>
      </c>
      <c r="H20" s="35">
        <v>4</v>
      </c>
      <c r="I20" s="35"/>
      <c r="J20" s="35"/>
      <c r="K20" s="35">
        <f>SUM(G20:J20)</f>
        <v>6</v>
      </c>
      <c r="L20" s="48">
        <f>+((C20+D20+E20+F20)-(G20+H20+I20+J20))*-1</f>
        <v>6</v>
      </c>
      <c r="M20" s="35"/>
    </row>
    <row r="21" ht="13.5" customHeight="1" spans="1:13">
      <c r="A21" s="53" t="s">
        <v>38</v>
      </c>
      <c r="B21" s="34">
        <f>SUM(C21:F21)</f>
        <v>30</v>
      </c>
      <c r="C21" s="34">
        <v>5</v>
      </c>
      <c r="D21" s="34">
        <v>7</v>
      </c>
      <c r="E21" s="34">
        <v>8</v>
      </c>
      <c r="F21" s="34">
        <v>10</v>
      </c>
      <c r="G21" s="38">
        <v>5</v>
      </c>
      <c r="H21" s="35">
        <v>4</v>
      </c>
      <c r="I21" s="35"/>
      <c r="J21" s="35">
        <v>3</v>
      </c>
      <c r="K21" s="35">
        <f>SUM(G21:J21)</f>
        <v>12</v>
      </c>
      <c r="L21" s="48">
        <f>+((C21+D21+E21+F21)-(G21+H21+I21+J21))*-1</f>
        <v>-18</v>
      </c>
      <c r="M21" s="35">
        <v>10</v>
      </c>
    </row>
    <row r="22" customHeight="1" spans="1:13">
      <c r="A22" s="54" t="s">
        <v>39</v>
      </c>
      <c r="B22" s="147">
        <f>SUM(B8:B21)</f>
        <v>170</v>
      </c>
      <c r="C22" s="147">
        <f>SUM(C8:C21)</f>
        <v>31</v>
      </c>
      <c r="D22" s="147">
        <f t="shared" ref="D22:M22" si="3">SUM(D8:D21)</f>
        <v>35</v>
      </c>
      <c r="E22" s="147">
        <f>SUM(E8:E21)</f>
        <v>48</v>
      </c>
      <c r="F22" s="147">
        <f>SUM(F8:F21)</f>
        <v>56</v>
      </c>
      <c r="G22" s="147">
        <f>SUM(G8:G21)</f>
        <v>31</v>
      </c>
      <c r="H22" s="147">
        <f>SUM(H8:H21)</f>
        <v>35</v>
      </c>
      <c r="I22" s="147">
        <f>SUM(I8:I21)</f>
        <v>31</v>
      </c>
      <c r="J22" s="147">
        <f>SUM(J8:J21)</f>
        <v>55</v>
      </c>
      <c r="K22" s="108">
        <f>SUM(G22:J22)</f>
        <v>152</v>
      </c>
      <c r="L22" s="48">
        <f>+((C22+D22+E22+F22)-(G22+H22+I22+J22))*-1</f>
        <v>-18</v>
      </c>
      <c r="M22" s="147">
        <f>SUM(M8:M21)</f>
        <v>271</v>
      </c>
    </row>
    <row r="23" ht="13.5" customHeight="1" spans="1:15">
      <c r="A23" s="148" t="s">
        <v>40</v>
      </c>
      <c r="B23" s="149"/>
      <c r="C23" s="23" t="s">
        <v>14</v>
      </c>
      <c r="D23" s="23"/>
      <c r="E23" s="23"/>
      <c r="F23" s="24"/>
      <c r="G23" s="11" t="s">
        <v>15</v>
      </c>
      <c r="H23" s="23"/>
      <c r="I23" s="23"/>
      <c r="J23" s="24"/>
      <c r="K23" s="63"/>
      <c r="L23" s="64"/>
      <c r="M23" s="107"/>
      <c r="N23" s="89"/>
      <c r="O23" s="90"/>
    </row>
    <row r="24" ht="25.5" spans="1:15">
      <c r="A24" s="25" t="s">
        <v>16</v>
      </c>
      <c r="B24" s="25" t="s">
        <v>17</v>
      </c>
      <c r="C24" s="25" t="s">
        <v>18</v>
      </c>
      <c r="D24" s="25" t="s">
        <v>19</v>
      </c>
      <c r="E24" s="25" t="s">
        <v>20</v>
      </c>
      <c r="F24" s="25" t="s">
        <v>57</v>
      </c>
      <c r="G24" s="25" t="s">
        <v>18</v>
      </c>
      <c r="H24" s="25" t="s">
        <v>73</v>
      </c>
      <c r="I24" s="25" t="s">
        <v>74</v>
      </c>
      <c r="J24" s="25" t="s">
        <v>75</v>
      </c>
      <c r="K24" s="25" t="s">
        <v>22</v>
      </c>
      <c r="L24" s="25" t="s">
        <v>41</v>
      </c>
      <c r="M24" s="47" t="s">
        <v>42</v>
      </c>
      <c r="N24" s="89"/>
      <c r="O24" s="90"/>
    </row>
    <row r="25" ht="14.25" customHeight="1" spans="1:15">
      <c r="A25" s="29" t="s">
        <v>25</v>
      </c>
      <c r="B25" s="48">
        <f>SUM(C25:F25)</f>
        <v>9</v>
      </c>
      <c r="C25" s="35">
        <v>1</v>
      </c>
      <c r="D25" s="34">
        <v>2.25</v>
      </c>
      <c r="E25" s="34">
        <v>2.5</v>
      </c>
      <c r="F25" s="34">
        <v>3.25</v>
      </c>
      <c r="G25" s="49">
        <f>(12820+23000+20150+41350+56500+31800)/100000</f>
        <v>1.8562</v>
      </c>
      <c r="H25" s="50">
        <f>(22050+11700+31080+14300+101500+63950)/100000</f>
        <v>2.4458</v>
      </c>
      <c r="I25" s="50">
        <f>(14200+14250+12750+41400+22750+25300)/100000</f>
        <v>1.3065</v>
      </c>
      <c r="J25" s="50">
        <f>(19650+37300+55550+25550+24000+55500+24600+11000)/100000</f>
        <v>2.5315</v>
      </c>
      <c r="K25" s="50">
        <f t="shared" ref="K25:K37" si="4">SUM(G25:J25)</f>
        <v>8.14</v>
      </c>
      <c r="L25" s="50">
        <f>+((C25+D25+E25+F25)-(G25+H25+I25+J25))*-1</f>
        <v>-0.859999999999999</v>
      </c>
      <c r="M25" s="91">
        <f>+K25/B25</f>
        <v>0.904444444444444</v>
      </c>
      <c r="N25" s="89"/>
      <c r="O25" s="90"/>
    </row>
    <row r="26" ht="13.5" customHeight="1" spans="1:15">
      <c r="A26" s="29" t="s">
        <v>26</v>
      </c>
      <c r="B26" s="48">
        <f t="shared" ref="B26:B37" si="5">SUM(C26:F26)</f>
        <v>8.75</v>
      </c>
      <c r="C26" s="35">
        <v>1.5</v>
      </c>
      <c r="D26" s="34">
        <v>2.3</v>
      </c>
      <c r="E26" s="34">
        <v>2.2</v>
      </c>
      <c r="F26" s="34">
        <v>2.75</v>
      </c>
      <c r="G26" s="129">
        <f>(22000+10150+9400+16200+32300)/100000</f>
        <v>0.9005</v>
      </c>
      <c r="H26" s="130">
        <f>(43900+54600+75000+22100+39900+88600)/100000</f>
        <v>3.241</v>
      </c>
      <c r="I26" s="50">
        <f>(7700+14000+37300+49400+28100)/100000</f>
        <v>1.365</v>
      </c>
      <c r="J26" s="134">
        <f>(37600+136700+49100+42900+54000+25210+12700+22000)/100000</f>
        <v>3.8021</v>
      </c>
      <c r="K26" s="50">
        <f>SUM(G26:J26)</f>
        <v>9.3086</v>
      </c>
      <c r="L26" s="50">
        <f t="shared" ref="L26:L38" si="6">+((C26+D26+E26+F26)-(G26+H26+I26+J26))*-1</f>
        <v>0.5586</v>
      </c>
      <c r="M26" s="91">
        <f>+K26/B26</f>
        <v>1.06384</v>
      </c>
      <c r="N26" s="92"/>
      <c r="O26" s="93"/>
    </row>
    <row r="27" ht="13.5" customHeight="1" spans="1:15">
      <c r="A27" s="29" t="s">
        <v>27</v>
      </c>
      <c r="B27" s="48">
        <f>SUM(C27:F27)</f>
        <v>6</v>
      </c>
      <c r="C27" s="34">
        <v>0.7</v>
      </c>
      <c r="D27" s="34">
        <v>1.75</v>
      </c>
      <c r="E27" s="34">
        <v>1.25</v>
      </c>
      <c r="F27" s="34">
        <v>2.3</v>
      </c>
      <c r="G27" s="129">
        <f>(10600+20900+31000+42800+22900)/100000</f>
        <v>1.282</v>
      </c>
      <c r="H27" s="50">
        <f>(34200+20700+35900+15230+14200+45300)/100000</f>
        <v>1.6553</v>
      </c>
      <c r="I27" s="50">
        <f>(19820+13800+7600+9800+12100)/100000</f>
        <v>0.6312</v>
      </c>
      <c r="J27" s="134">
        <f>(25800+41900+40900+35210+25400+24200+15200+30600)/100000</f>
        <v>2.3921</v>
      </c>
      <c r="K27" s="50">
        <f>SUM(G27:J27)</f>
        <v>5.9606</v>
      </c>
      <c r="L27" s="50">
        <f>+((C27+D27+E27+F27)-(G27+H27+I27+J27))*-1</f>
        <v>-0.0393999999999997</v>
      </c>
      <c r="M27" s="91">
        <f t="shared" ref="M27:M38" si="7">+K27/B27</f>
        <v>0.993433333333334</v>
      </c>
      <c r="N27" s="92"/>
      <c r="O27" s="93"/>
    </row>
    <row r="28" ht="12.75" customHeight="1" spans="1:15">
      <c r="A28" s="29" t="s">
        <v>28</v>
      </c>
      <c r="B28" s="48">
        <f>SUM(C28:F28)</f>
        <v>6</v>
      </c>
      <c r="C28" s="34">
        <v>1</v>
      </c>
      <c r="D28" s="34">
        <v>1.25</v>
      </c>
      <c r="E28" s="34">
        <v>1.25</v>
      </c>
      <c r="F28" s="34">
        <v>2.5</v>
      </c>
      <c r="G28" s="129">
        <f>(11500+10700+12200+17500+16700+23000)/100000</f>
        <v>0.916</v>
      </c>
      <c r="H28" s="140">
        <f>(15700+29930+14300+5800+32400+43242)/100000</f>
        <v>1.41372</v>
      </c>
      <c r="I28" s="50">
        <f>(12400+16000+14400+10000+40220+14350)/100000</f>
        <v>1.0737</v>
      </c>
      <c r="J28" s="134">
        <f>(18600+31750+37400+11200+16800+66900+34520+10550)/100000</f>
        <v>2.2772</v>
      </c>
      <c r="K28" s="50">
        <f>SUM(G28:J28)</f>
        <v>5.68062</v>
      </c>
      <c r="L28" s="50">
        <f>+((C28+D28+E28+F28)-(G28+H28+I28+J28))*-1</f>
        <v>-0.31938</v>
      </c>
      <c r="M28" s="91">
        <f>+K28/B28</f>
        <v>0.94677</v>
      </c>
      <c r="N28" s="92"/>
      <c r="O28" s="93"/>
    </row>
    <row r="29" ht="13.5" customHeight="1" spans="1:15">
      <c r="A29" s="29" t="s">
        <v>29</v>
      </c>
      <c r="B29" s="48">
        <f>SUM(C29:F29)</f>
        <v>2</v>
      </c>
      <c r="C29" s="34">
        <v>0.25</v>
      </c>
      <c r="D29" s="34">
        <v>0.6</v>
      </c>
      <c r="E29" s="34">
        <v>0.45</v>
      </c>
      <c r="F29" s="34">
        <v>0.7</v>
      </c>
      <c r="G29" s="129">
        <f>(25000+8800)/100000</f>
        <v>0.338</v>
      </c>
      <c r="H29" s="50">
        <f>(11000+13000)/100000</f>
        <v>0.24</v>
      </c>
      <c r="I29" s="50">
        <f>(8800+28400+7000)/100000</f>
        <v>0.442</v>
      </c>
      <c r="J29" s="134">
        <f>(30000+7000+8800+8800+16400+10000+15400)/100000</f>
        <v>0.964</v>
      </c>
      <c r="K29" s="50">
        <f>SUM(G29:J29)</f>
        <v>1.984</v>
      </c>
      <c r="L29" s="50">
        <f>+((C29+D29+E29+F29)-(G29+H29+I29+J29))*-1</f>
        <v>-0.016</v>
      </c>
      <c r="M29" s="91">
        <f>+K29/B29</f>
        <v>0.992</v>
      </c>
      <c r="N29" s="92"/>
      <c r="O29" s="93"/>
    </row>
    <row r="30" ht="14.25" customHeight="1" spans="1:15">
      <c r="A30" s="51" t="s">
        <v>30</v>
      </c>
      <c r="B30" s="48">
        <f>SUM(C30:F30)</f>
        <v>6.5</v>
      </c>
      <c r="C30" s="35">
        <v>1.4</v>
      </c>
      <c r="D30" s="52">
        <v>1.4</v>
      </c>
      <c r="E30" s="52">
        <v>1.4</v>
      </c>
      <c r="F30" s="52">
        <v>2.3</v>
      </c>
      <c r="G30" s="129">
        <f>(22000+8900)/100000</f>
        <v>0.309</v>
      </c>
      <c r="H30" s="50">
        <f>(8800+45400+10000)/100000</f>
        <v>0.642</v>
      </c>
      <c r="I30" s="50">
        <f>(8800)/100000</f>
        <v>0.088</v>
      </c>
      <c r="J30" s="134">
        <f>(44000+12000+47000+39600+4400)/100000</f>
        <v>1.47</v>
      </c>
      <c r="K30" s="50">
        <f>SUM(G30:J30)</f>
        <v>2.509</v>
      </c>
      <c r="L30" s="50">
        <f>+((C30+D30+E30+F30)-(G30+H30+I30+J30))*-1</f>
        <v>-3.991</v>
      </c>
      <c r="M30" s="91">
        <f>+K30/B30</f>
        <v>0.386</v>
      </c>
      <c r="N30" s="94"/>
      <c r="O30" s="95"/>
    </row>
    <row r="31" ht="14.25" customHeight="1" spans="1:15">
      <c r="A31" s="51" t="s">
        <v>31</v>
      </c>
      <c r="B31" s="48">
        <f>SUM(C31:F31)</f>
        <v>6</v>
      </c>
      <c r="C31" s="35">
        <v>1.3</v>
      </c>
      <c r="D31" s="52">
        <v>1.6</v>
      </c>
      <c r="E31" s="52">
        <v>1.4</v>
      </c>
      <c r="F31" s="52">
        <v>1.7</v>
      </c>
      <c r="G31" s="129">
        <f>(18100+26150+24400+20650+33400+22300)/100000</f>
        <v>1.45</v>
      </c>
      <c r="H31" s="50">
        <f>(21000+22600+26800+25300+25400+25950)/100000</f>
        <v>1.4705</v>
      </c>
      <c r="I31" s="50">
        <f>(26200+22000+24500+18500+28050+28600)/100000</f>
        <v>1.4785</v>
      </c>
      <c r="J31" s="134">
        <f>(25400+24500+16700+35400+23700+33900+15100+16800)/100000</f>
        <v>1.915</v>
      </c>
      <c r="K31" s="50">
        <f>SUM(G31:J31)</f>
        <v>6.314</v>
      </c>
      <c r="L31" s="50">
        <f>+((C31+D31+E31+F31)-(G31+H31+I31+J31))*-1</f>
        <v>0.313999999999998</v>
      </c>
      <c r="M31" s="91">
        <f>+K31/B31</f>
        <v>1.05233333333333</v>
      </c>
      <c r="N31" s="92"/>
      <c r="O31" s="93"/>
    </row>
    <row r="32" ht="14.25" customHeight="1" spans="1:15">
      <c r="A32" s="51" t="s">
        <v>32</v>
      </c>
      <c r="B32" s="48">
        <f>SUM(C32:F32)</f>
        <v>7</v>
      </c>
      <c r="C32" s="35">
        <v>1.3</v>
      </c>
      <c r="D32" s="52">
        <v>1.7</v>
      </c>
      <c r="E32" s="52">
        <v>1.5</v>
      </c>
      <c r="F32" s="52">
        <v>2.5</v>
      </c>
      <c r="G32" s="129">
        <f>(13350+16900+16850+59152+57150+20700)/100000</f>
        <v>1.84102</v>
      </c>
      <c r="H32" s="50">
        <f>(23800+25950+18400+12100+14300+16050)/100000</f>
        <v>1.106</v>
      </c>
      <c r="I32" s="50">
        <f>(16900+25300+24900+23500+33900+40840)/100000</f>
        <v>1.6534</v>
      </c>
      <c r="J32" s="134">
        <f>(28300+17700+17050+72835+27500+21600+16500+15300)/100000</f>
        <v>2.16785</v>
      </c>
      <c r="K32" s="50">
        <f>SUM(G32:J32)</f>
        <v>6.76827</v>
      </c>
      <c r="L32" s="50">
        <f>+((C32+D32+E32+F32)-(G32+H32+I32+J32))*-1</f>
        <v>-0.231730000000001</v>
      </c>
      <c r="M32" s="91">
        <f>+K32/B32</f>
        <v>0.966895714285714</v>
      </c>
      <c r="N32" s="92"/>
      <c r="O32" s="93"/>
    </row>
    <row r="33" ht="13.5" customHeight="1" spans="1:15">
      <c r="A33" s="51" t="s">
        <v>34</v>
      </c>
      <c r="B33" s="48">
        <f>SUM(C33:F33)</f>
        <v>4</v>
      </c>
      <c r="C33" s="35">
        <v>0.75</v>
      </c>
      <c r="D33" s="52">
        <v>0.9</v>
      </c>
      <c r="E33" s="52">
        <v>1.1</v>
      </c>
      <c r="F33" s="52">
        <v>1.25</v>
      </c>
      <c r="G33" s="129">
        <f>(12400+11400+13900+12500+23700+8400)/100000</f>
        <v>0.823</v>
      </c>
      <c r="H33" s="50">
        <f>(17500+15500+14900+9500+11800+23100)/100000</f>
        <v>0.923</v>
      </c>
      <c r="I33" s="50">
        <f>(15300+21500+17000+13100+24200+15000)/100000</f>
        <v>1.061</v>
      </c>
      <c r="J33" s="134">
        <f>(20000+34000+37100+22400+23200+14800+19700+17800)/100000</f>
        <v>1.89</v>
      </c>
      <c r="K33" s="50">
        <f>SUM(G33:J33)</f>
        <v>4.697</v>
      </c>
      <c r="L33" s="50">
        <f>+((C33+D33+E33+F33)-(G33+H33+I33+J33))*-1</f>
        <v>0.697</v>
      </c>
      <c r="M33" s="91">
        <f>+K33/B33</f>
        <v>1.17425</v>
      </c>
      <c r="N33" s="92"/>
      <c r="O33" s="93"/>
    </row>
    <row r="34" ht="13.5" customHeight="1" spans="1:15">
      <c r="A34" s="51" t="s">
        <v>51</v>
      </c>
      <c r="B34" s="48">
        <f>SUM(C34:F34)</f>
        <v>5.5</v>
      </c>
      <c r="C34" s="35">
        <v>1.1</v>
      </c>
      <c r="D34" s="52">
        <v>1.15</v>
      </c>
      <c r="E34" s="52">
        <v>1.25</v>
      </c>
      <c r="F34" s="52">
        <v>2</v>
      </c>
      <c r="G34" s="129">
        <f>(12100+29800+21700+79400+13600+19700)/100000</f>
        <v>1.763</v>
      </c>
      <c r="H34" s="50">
        <f>(32520+15100+23100+23800+13500+27500)/100000</f>
        <v>1.3552</v>
      </c>
      <c r="I34" s="50">
        <f>(22500+13300+21000+34300+28450+25900)/100000</f>
        <v>1.4545</v>
      </c>
      <c r="J34" s="134">
        <f>(30700+17300+15450+27440+40700+41400+45300+12200)/100000</f>
        <v>2.3049</v>
      </c>
      <c r="K34" s="50">
        <f>SUM(G34:J34)</f>
        <v>6.8776</v>
      </c>
      <c r="L34" s="50">
        <f>+((C34+D34+E34+F34)-(G34+H34+I34+J34))*-1</f>
        <v>1.3776</v>
      </c>
      <c r="M34" s="91">
        <f>+K34/B34</f>
        <v>1.25047272727273</v>
      </c>
      <c r="N34" s="92"/>
      <c r="O34" s="93"/>
    </row>
    <row r="35" ht="13.5" customHeight="1" spans="1:15">
      <c r="A35" s="53" t="s">
        <v>37</v>
      </c>
      <c r="B35" s="48">
        <f>SUM(C35:F35)</f>
        <v>1.75</v>
      </c>
      <c r="C35" s="35">
        <v>0.25</v>
      </c>
      <c r="D35" s="52">
        <v>0.5</v>
      </c>
      <c r="E35" s="52">
        <v>0.25</v>
      </c>
      <c r="F35" s="52">
        <v>0.75</v>
      </c>
      <c r="G35" s="129">
        <f>(46600+22000+8800)/100000</f>
        <v>0.774</v>
      </c>
      <c r="H35" s="50">
        <f>(13200)/100000</f>
        <v>0.132</v>
      </c>
      <c r="I35" s="50">
        <f>(8310+17600)/100000</f>
        <v>0.2591</v>
      </c>
      <c r="J35" s="134">
        <f>(33700)/100000</f>
        <v>0.337</v>
      </c>
      <c r="K35" s="50">
        <f>SUM(G35:J35)</f>
        <v>1.5021</v>
      </c>
      <c r="L35" s="50">
        <f>+((C35+D35+E35+F35)-(G35+H35+I35+J35))*-1</f>
        <v>-0.2479</v>
      </c>
      <c r="M35" s="91">
        <f>+K35/B35</f>
        <v>0.858342857142857</v>
      </c>
      <c r="N35" s="92"/>
      <c r="O35" s="93"/>
    </row>
    <row r="36" ht="14.25" customHeight="1" spans="1:15">
      <c r="A36" s="53" t="s">
        <v>35</v>
      </c>
      <c r="B36" s="48">
        <f>SUM(C36:F36)</f>
        <v>2.5</v>
      </c>
      <c r="C36" s="35">
        <v>0.5</v>
      </c>
      <c r="D36" s="52">
        <v>0.5</v>
      </c>
      <c r="E36" s="52">
        <v>0.5</v>
      </c>
      <c r="F36" s="52">
        <v>1</v>
      </c>
      <c r="G36" s="129">
        <f>(19260)/100000</f>
        <v>0.1926</v>
      </c>
      <c r="H36" s="50">
        <f>(34600+29300)/100000</f>
        <v>0.639</v>
      </c>
      <c r="I36" s="50"/>
      <c r="J36" s="134">
        <f>(114600+22000)/100000</f>
        <v>1.366</v>
      </c>
      <c r="K36" s="50">
        <f>SUM(G36:J36)</f>
        <v>2.1976</v>
      </c>
      <c r="L36" s="50">
        <f>+((C36+D36+E36+F36)-(G36+H36+I36+J36))*-1</f>
        <v>-0.3024</v>
      </c>
      <c r="M36" s="91">
        <f>+K36/B36</f>
        <v>0.87904</v>
      </c>
      <c r="N36" s="92"/>
      <c r="O36" s="93"/>
    </row>
    <row r="37" ht="16.5" customHeight="1" spans="1:15">
      <c r="A37" s="53" t="s">
        <v>38</v>
      </c>
      <c r="B37" s="48">
        <f>SUM(C37:F37)</f>
        <v>10.5</v>
      </c>
      <c r="C37" s="35">
        <v>1.7</v>
      </c>
      <c r="D37" s="52">
        <v>2</v>
      </c>
      <c r="E37" s="52">
        <v>3</v>
      </c>
      <c r="F37" s="52">
        <v>3.8</v>
      </c>
      <c r="G37" s="129">
        <f>(47960+9400+4430+29876+18490+30800)/100000</f>
        <v>1.40956</v>
      </c>
      <c r="H37" s="50">
        <f>(114625+31400+35250+56260+54800)/100000</f>
        <v>2.92335</v>
      </c>
      <c r="I37" s="50">
        <f>(56400+3000+20000+6600+32800+183800)/100000</f>
        <v>3.026</v>
      </c>
      <c r="J37" s="134">
        <f>(26770+36730+88261+47985+35200+71125+48110+183400)/100000</f>
        <v>5.37581</v>
      </c>
      <c r="K37" s="50">
        <f>SUM(G37:J37)</f>
        <v>12.73472</v>
      </c>
      <c r="L37" s="50">
        <f>+((C37+D37+E37+F37)-(G37+H37+I37+J37))*-1</f>
        <v>2.23472</v>
      </c>
      <c r="M37" s="91">
        <f>+K37/B37</f>
        <v>1.21283047619048</v>
      </c>
      <c r="N37" s="92"/>
      <c r="O37" s="93"/>
    </row>
    <row r="38" ht="14.25" customHeight="1" spans="1:15">
      <c r="A38" s="54" t="s">
        <v>44</v>
      </c>
      <c r="B38" s="48">
        <f t="shared" ref="B38:K38" si="8">SUM(B25:B37)</f>
        <v>75.5</v>
      </c>
      <c r="C38" s="35">
        <f>SUM(C25:C37)</f>
        <v>12.75</v>
      </c>
      <c r="D38" s="48">
        <f>SUM(D25:D37)</f>
        <v>17.9</v>
      </c>
      <c r="E38" s="48">
        <f>SUM(E25:E37)</f>
        <v>18.05</v>
      </c>
      <c r="F38" s="48">
        <f>SUM(F25:F37)</f>
        <v>26.8</v>
      </c>
      <c r="G38" s="131">
        <f>SUM(G25:G37)</f>
        <v>13.85488</v>
      </c>
      <c r="H38" s="50">
        <f>SUM(H25:H37)</f>
        <v>18.18687</v>
      </c>
      <c r="I38" s="50">
        <f>SUM(I25:I37)</f>
        <v>13.8389</v>
      </c>
      <c r="J38" s="134">
        <f>SUM(J25:J37)</f>
        <v>28.79346</v>
      </c>
      <c r="K38" s="135">
        <f>SUM(K25:K37)</f>
        <v>74.67411</v>
      </c>
      <c r="L38" s="50">
        <f>+((C38+D38+E38+F38)-(G38+H38+I38+J38))*-1</f>
        <v>-0.825889999999987</v>
      </c>
      <c r="M38" s="154">
        <f>+K38/B38</f>
        <v>0.989061059602649</v>
      </c>
      <c r="N38" s="92"/>
      <c r="O38" s="93"/>
    </row>
    <row r="39" spans="1:15">
      <c r="A39" s="55"/>
      <c r="B39" s="56"/>
      <c r="C39" s="57"/>
      <c r="D39" s="57"/>
      <c r="N39" s="94"/>
      <c r="O39" s="95"/>
    </row>
    <row r="40" spans="14:15">
      <c r="N40" s="92"/>
      <c r="O40" s="93"/>
    </row>
    <row r="41" spans="14:15">
      <c r="N41" s="92"/>
      <c r="O41" s="93"/>
    </row>
    <row r="42" spans="14:15">
      <c r="N42" s="92"/>
      <c r="O42" s="93"/>
    </row>
    <row r="43" spans="14:15">
      <c r="N43" s="92"/>
      <c r="O43" s="93"/>
    </row>
    <row r="44" spans="14:15">
      <c r="N44" s="92"/>
      <c r="O44" s="93"/>
    </row>
    <row r="45" spans="14:15">
      <c r="N45" s="92"/>
      <c r="O45" s="93"/>
    </row>
    <row r="46" spans="14:15">
      <c r="N46" s="92"/>
      <c r="O46" s="93"/>
    </row>
    <row r="47" spans="14:15">
      <c r="N47" s="92"/>
      <c r="O47" s="93"/>
    </row>
    <row r="48" spans="14:15">
      <c r="N48" s="92"/>
      <c r="O48" s="93"/>
    </row>
    <row r="49" spans="14:15">
      <c r="N49" s="94"/>
      <c r="O49" s="95"/>
    </row>
    <row r="50" spans="14:15">
      <c r="N50" s="92"/>
      <c r="O50" s="93"/>
    </row>
    <row r="51" spans="14:15">
      <c r="N51" s="92"/>
      <c r="O51" s="93"/>
    </row>
    <row r="52" spans="14:15">
      <c r="N52" s="92"/>
      <c r="O52" s="93"/>
    </row>
    <row r="53" spans="14:15">
      <c r="N53" s="92"/>
      <c r="O53" s="93"/>
    </row>
    <row r="54" spans="14:15">
      <c r="N54" s="92"/>
      <c r="O54" s="93"/>
    </row>
    <row r="55" spans="14:15">
      <c r="N55" s="92"/>
      <c r="O55" s="93"/>
    </row>
    <row r="56" spans="14:15">
      <c r="N56" s="92"/>
      <c r="O56" s="93"/>
    </row>
    <row r="57" spans="14:15">
      <c r="N57" s="94"/>
      <c r="O57" s="95"/>
    </row>
    <row r="58" spans="14:15">
      <c r="N58" s="92"/>
      <c r="O58" s="93"/>
    </row>
    <row r="59" spans="14:15">
      <c r="N59" s="92"/>
      <c r="O59" s="93"/>
    </row>
    <row r="60" spans="14:15">
      <c r="N60" s="92"/>
      <c r="O60" s="93"/>
    </row>
    <row r="61" spans="14:15">
      <c r="N61" s="92"/>
      <c r="O61" s="93"/>
    </row>
    <row r="62" spans="14:15">
      <c r="N62" s="92"/>
      <c r="O62" s="93"/>
    </row>
    <row r="63" spans="14:15">
      <c r="N63" s="92"/>
      <c r="O63" s="93"/>
    </row>
    <row r="64" spans="14:15">
      <c r="N64" s="92"/>
      <c r="O64" s="93"/>
    </row>
    <row r="65" spans="14:15">
      <c r="N65" s="92"/>
      <c r="O65" s="96"/>
    </row>
  </sheetData>
  <mergeCells count="6">
    <mergeCell ref="B1:M1"/>
    <mergeCell ref="D5:F5"/>
    <mergeCell ref="C6:F6"/>
    <mergeCell ref="G6:J6"/>
    <mergeCell ref="C23:F23"/>
    <mergeCell ref="G23:J23"/>
  </mergeCells>
  <pageMargins left="0.699305555555556" right="0.699305555555556" top="0.75" bottom="0.75" header="0.3" footer="0.3"/>
  <pageSetup paperSize="9" scale="90" orientation="landscape" verticalDpi="18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5"/>
  <sheetViews>
    <sheetView topLeftCell="A24" workbookViewId="0">
      <selection activeCell="A1" sqref="A1:M38"/>
    </sheetView>
  </sheetViews>
  <sheetFormatPr defaultColWidth="9" defaultRowHeight="15"/>
  <cols>
    <col min="1" max="1" width="18.8571428571429" style="1" customWidth="1"/>
    <col min="2" max="2" width="10.1428571428571" style="2" customWidth="1"/>
    <col min="3" max="3" width="9.42857142857143" style="1" customWidth="1"/>
    <col min="4" max="5" width="9.71428571428571" style="1" customWidth="1"/>
    <col min="6" max="6" width="10.2857142857143" style="1" customWidth="1"/>
    <col min="7" max="7" width="10.1428571428571" style="1" customWidth="1"/>
    <col min="8" max="8" width="10.2857142857143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spans="1:13">
      <c r="A1" s="159">
        <v>40816.5833333333</v>
      </c>
      <c r="B1" s="119" t="s">
        <v>76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spans="1:13">
      <c r="A2" s="6" t="s">
        <v>2</v>
      </c>
      <c r="B2" s="7">
        <f>+K22</f>
        <v>160</v>
      </c>
      <c r="C2" s="8"/>
      <c r="D2" s="8"/>
      <c r="E2" s="8"/>
      <c r="F2" s="8"/>
      <c r="G2" s="8"/>
      <c r="H2" s="8"/>
      <c r="I2" s="8"/>
      <c r="J2" s="8"/>
      <c r="K2" s="8"/>
      <c r="L2" s="8"/>
      <c r="M2" s="104"/>
    </row>
    <row r="3" spans="1:13">
      <c r="A3" s="6" t="s">
        <v>3</v>
      </c>
      <c r="B3" s="7">
        <f>+M22</f>
        <v>251</v>
      </c>
      <c r="C3" s="8"/>
      <c r="D3" s="8"/>
      <c r="E3" s="8"/>
      <c r="F3" s="8"/>
      <c r="G3" s="8"/>
      <c r="H3" s="8"/>
      <c r="I3" s="8"/>
      <c r="J3" s="8"/>
      <c r="K3" s="8"/>
      <c r="L3" s="8"/>
      <c r="M3" s="104"/>
    </row>
    <row r="4" spans="1:13">
      <c r="A4" s="6" t="s">
        <v>77</v>
      </c>
      <c r="B4" s="11"/>
      <c r="C4" s="12"/>
      <c r="D4" s="13" t="s">
        <v>5</v>
      </c>
      <c r="E4" s="12">
        <v>7</v>
      </c>
      <c r="F4" s="12"/>
      <c r="G4" s="14" t="s">
        <v>78</v>
      </c>
      <c r="H4" s="155"/>
      <c r="I4" s="12" t="s">
        <v>7</v>
      </c>
      <c r="J4" s="13">
        <f>+K38</f>
        <v>72.02504</v>
      </c>
      <c r="K4" s="12" t="s">
        <v>8</v>
      </c>
      <c r="L4" s="12" t="s">
        <v>79</v>
      </c>
      <c r="M4" s="106"/>
    </row>
    <row r="5" spans="1:13">
      <c r="A5" s="16" t="s">
        <v>10</v>
      </c>
      <c r="B5" s="17" t="s">
        <v>80</v>
      </c>
      <c r="C5" s="18" t="s">
        <v>81</v>
      </c>
      <c r="D5" s="19">
        <v>6569750</v>
      </c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5.5" spans="1:13">
      <c r="A7" s="25" t="s">
        <v>16</v>
      </c>
      <c r="B7" s="25" t="s">
        <v>17</v>
      </c>
      <c r="C7" s="25" t="s">
        <v>18</v>
      </c>
      <c r="D7" s="25" t="s">
        <v>19</v>
      </c>
      <c r="E7" s="25" t="s">
        <v>20</v>
      </c>
      <c r="F7" s="25" t="s">
        <v>56</v>
      </c>
      <c r="G7" s="25" t="s">
        <v>18</v>
      </c>
      <c r="H7" s="25" t="s">
        <v>73</v>
      </c>
      <c r="I7" s="25" t="s">
        <v>74</v>
      </c>
      <c r="J7" s="25" t="s">
        <v>75</v>
      </c>
      <c r="K7" s="25" t="s">
        <v>22</v>
      </c>
      <c r="L7" s="25" t="s">
        <v>23</v>
      </c>
      <c r="M7" s="25" t="s">
        <v>24</v>
      </c>
    </row>
    <row r="8" spans="1:13">
      <c r="A8" s="29" t="s">
        <v>25</v>
      </c>
      <c r="B8" s="34">
        <f>SUM(C8:F8)</f>
        <v>15</v>
      </c>
      <c r="C8" s="34">
        <v>2</v>
      </c>
      <c r="D8" s="34">
        <v>3</v>
      </c>
      <c r="E8" s="34">
        <v>5</v>
      </c>
      <c r="F8" s="34">
        <v>5</v>
      </c>
      <c r="G8" s="48"/>
      <c r="H8" s="48"/>
      <c r="I8" s="48">
        <v>3</v>
      </c>
      <c r="J8" s="48">
        <v>5</v>
      </c>
      <c r="K8" s="48">
        <f t="shared" ref="K8:K22" si="0">SUM(G8:J8)</f>
        <v>8</v>
      </c>
      <c r="L8" s="48">
        <f>+((C8+D8+E8+F8)-(G8+H8+I8+J8))*-1</f>
        <v>-7</v>
      </c>
      <c r="M8" s="48">
        <v>1</v>
      </c>
    </row>
    <row r="9" spans="1:13">
      <c r="A9" s="29" t="s">
        <v>26</v>
      </c>
      <c r="B9" s="34">
        <f t="shared" ref="B9:B21" si="1">SUM(C9:F9)</f>
        <v>15</v>
      </c>
      <c r="C9" s="34">
        <v>5</v>
      </c>
      <c r="D9" s="34">
        <v>3</v>
      </c>
      <c r="E9" s="34">
        <v>5</v>
      </c>
      <c r="F9" s="34">
        <v>2</v>
      </c>
      <c r="G9" s="48">
        <v>5</v>
      </c>
      <c r="H9" s="48">
        <v>5</v>
      </c>
      <c r="I9" s="48">
        <v>5</v>
      </c>
      <c r="J9" s="48"/>
      <c r="K9" s="48">
        <f>SUM(G9:J9)</f>
        <v>15</v>
      </c>
      <c r="L9" s="48">
        <f t="shared" ref="L9:L22" si="2">+((C9+D9+E9+F9)-(G9+H9+I9+J9))*-1</f>
        <v>0</v>
      </c>
      <c r="M9" s="48">
        <v>75</v>
      </c>
    </row>
    <row r="10" spans="1:13">
      <c r="A10" s="29" t="s">
        <v>27</v>
      </c>
      <c r="B10" s="34">
        <f>SUM(C10:F10)</f>
        <v>12</v>
      </c>
      <c r="C10" s="34">
        <v>2</v>
      </c>
      <c r="D10" s="34">
        <v>3</v>
      </c>
      <c r="E10" s="34">
        <v>4</v>
      </c>
      <c r="F10" s="34">
        <v>3</v>
      </c>
      <c r="G10" s="48"/>
      <c r="H10" s="48"/>
      <c r="I10" s="48">
        <v>2</v>
      </c>
      <c r="J10" s="48">
        <v>10</v>
      </c>
      <c r="K10" s="48">
        <f>SUM(G10:J10)</f>
        <v>12</v>
      </c>
      <c r="L10" s="48">
        <f>+((C10+D10+E10+F10)-(G10+H10+I10+J10))*-1</f>
        <v>0</v>
      </c>
      <c r="M10" s="48">
        <v>22</v>
      </c>
    </row>
    <row r="11" spans="1:13">
      <c r="A11" s="29" t="s">
        <v>28</v>
      </c>
      <c r="B11" s="34">
        <f>SUM(C11:F11)</f>
        <v>12</v>
      </c>
      <c r="C11" s="34">
        <v>3</v>
      </c>
      <c r="D11" s="34">
        <v>2</v>
      </c>
      <c r="E11" s="34">
        <v>4</v>
      </c>
      <c r="F11" s="34">
        <v>3</v>
      </c>
      <c r="G11" s="48"/>
      <c r="H11" s="48">
        <v>1</v>
      </c>
      <c r="I11" s="48">
        <v>5</v>
      </c>
      <c r="J11" s="48">
        <v>7</v>
      </c>
      <c r="K11" s="48">
        <f>SUM(G11:J11)</f>
        <v>13</v>
      </c>
      <c r="L11" s="48">
        <f>+((C11+D11+E11+F11)-(G11+H11+I11+J11))*-1</f>
        <v>1</v>
      </c>
      <c r="M11" s="48">
        <v>64</v>
      </c>
    </row>
    <row r="12" spans="1:13">
      <c r="A12" s="29" t="s">
        <v>29</v>
      </c>
      <c r="B12" s="34">
        <f>SUM(C12:F12)</f>
        <v>10</v>
      </c>
      <c r="C12" s="34">
        <v>2</v>
      </c>
      <c r="D12" s="34">
        <v>2</v>
      </c>
      <c r="E12" s="34">
        <v>3</v>
      </c>
      <c r="F12" s="34">
        <v>3</v>
      </c>
      <c r="G12" s="48"/>
      <c r="H12" s="48"/>
      <c r="I12" s="48">
        <v>2</v>
      </c>
      <c r="J12" s="48">
        <v>6</v>
      </c>
      <c r="K12" s="48">
        <f>SUM(G12:J12)</f>
        <v>8</v>
      </c>
      <c r="L12" s="48">
        <f>+((C12+D12+E12+F12)-(G12+H12+I12+J12))*-1</f>
        <v>-2</v>
      </c>
      <c r="M12" s="48">
        <v>0</v>
      </c>
    </row>
    <row r="13" spans="1:13">
      <c r="A13" s="51" t="s">
        <v>30</v>
      </c>
      <c r="B13" s="34">
        <f>SUM(C13:F13)</f>
        <v>16</v>
      </c>
      <c r="C13" s="34">
        <v>4</v>
      </c>
      <c r="D13" s="34">
        <v>4</v>
      </c>
      <c r="E13" s="34">
        <v>4</v>
      </c>
      <c r="F13" s="34">
        <v>4</v>
      </c>
      <c r="G13" s="48">
        <v>23</v>
      </c>
      <c r="H13" s="48">
        <v>2</v>
      </c>
      <c r="I13" s="48">
        <v>2.5</v>
      </c>
      <c r="J13" s="48"/>
      <c r="K13" s="48">
        <f>SUM(G13:J13)</f>
        <v>27.5</v>
      </c>
      <c r="L13" s="48">
        <f>+((C13+D13+E13+F13)-(G13+H13+I13+J13))*-1</f>
        <v>11.5</v>
      </c>
      <c r="M13" s="48">
        <v>29</v>
      </c>
    </row>
    <row r="14" spans="1:13">
      <c r="A14" s="51" t="s">
        <v>31</v>
      </c>
      <c r="B14" s="34">
        <f>SUM(C14:F14)</f>
        <v>10</v>
      </c>
      <c r="C14" s="34">
        <v>2</v>
      </c>
      <c r="D14" s="34">
        <v>2</v>
      </c>
      <c r="E14" s="34">
        <v>2</v>
      </c>
      <c r="F14" s="34">
        <v>4</v>
      </c>
      <c r="G14" s="48"/>
      <c r="H14" s="48"/>
      <c r="I14" s="48">
        <v>6</v>
      </c>
      <c r="J14" s="48">
        <v>4</v>
      </c>
      <c r="K14" s="48">
        <f>SUM(G14:J14)</f>
        <v>10</v>
      </c>
      <c r="L14" s="48">
        <f>+((C14+D14+E14+F14)-(G14+H14+I14+J14))*-1</f>
        <v>0</v>
      </c>
      <c r="M14" s="48">
        <v>6</v>
      </c>
    </row>
    <row r="15" spans="1:13">
      <c r="A15" s="51" t="s">
        <v>36</v>
      </c>
      <c r="B15" s="34">
        <f>SUM(C15:F15)</f>
        <v>10</v>
      </c>
      <c r="C15" s="34">
        <v>1</v>
      </c>
      <c r="D15" s="34">
        <v>2</v>
      </c>
      <c r="E15" s="34">
        <v>2</v>
      </c>
      <c r="F15" s="137">
        <v>5</v>
      </c>
      <c r="G15" s="48"/>
      <c r="H15" s="48"/>
      <c r="I15" s="138"/>
      <c r="J15" s="48">
        <v>11</v>
      </c>
      <c r="K15" s="48">
        <f>SUM(G15:J15)</f>
        <v>11</v>
      </c>
      <c r="L15" s="48">
        <f>+((C15+D15+E15+F15)-(G15+H15+I15+J15))*-1</f>
        <v>1</v>
      </c>
      <c r="M15" s="48">
        <v>2</v>
      </c>
    </row>
    <row r="16" spans="1:13">
      <c r="A16" s="51" t="s">
        <v>32</v>
      </c>
      <c r="B16" s="34">
        <f>SUM(C16:F16)</f>
        <v>10</v>
      </c>
      <c r="C16" s="34">
        <v>1</v>
      </c>
      <c r="D16" s="34">
        <v>2</v>
      </c>
      <c r="E16" s="34">
        <v>3</v>
      </c>
      <c r="F16" s="34">
        <v>4</v>
      </c>
      <c r="G16" s="48"/>
      <c r="H16" s="48">
        <v>0.5</v>
      </c>
      <c r="I16" s="48">
        <v>1</v>
      </c>
      <c r="J16" s="48">
        <v>6.5</v>
      </c>
      <c r="K16" s="48">
        <f>SUM(G16:J16)</f>
        <v>8</v>
      </c>
      <c r="L16" s="48">
        <f>+((C16+D16+E16+F16)-(G16+H16+I16+J16))*-1</f>
        <v>-2</v>
      </c>
      <c r="M16" s="48">
        <v>31</v>
      </c>
    </row>
    <row r="17" spans="1:13">
      <c r="A17" s="51" t="s">
        <v>34</v>
      </c>
      <c r="B17" s="34">
        <f>SUM(C17:F17)</f>
        <v>5</v>
      </c>
      <c r="C17" s="34">
        <v>1</v>
      </c>
      <c r="D17" s="34">
        <v>1</v>
      </c>
      <c r="E17" s="34">
        <v>1</v>
      </c>
      <c r="F17" s="34">
        <v>2</v>
      </c>
      <c r="G17" s="48"/>
      <c r="H17" s="48"/>
      <c r="I17" s="48">
        <v>4</v>
      </c>
      <c r="J17" s="48">
        <v>2</v>
      </c>
      <c r="K17" s="48">
        <f>SUM(G17:J17)</f>
        <v>6</v>
      </c>
      <c r="L17" s="48">
        <f>+((C17+D17+E17+F17)-(G17+H17+I17+J17))*-1</f>
        <v>1</v>
      </c>
      <c r="M17" s="48">
        <v>17</v>
      </c>
    </row>
    <row r="18" spans="1:13">
      <c r="A18" s="53" t="s">
        <v>33</v>
      </c>
      <c r="B18" s="34">
        <f>SUM(C18:F18)</f>
        <v>10</v>
      </c>
      <c r="C18" s="34">
        <v>1</v>
      </c>
      <c r="D18" s="34">
        <v>2</v>
      </c>
      <c r="E18" s="34">
        <v>2</v>
      </c>
      <c r="F18" s="34">
        <v>5</v>
      </c>
      <c r="G18" s="35">
        <v>1</v>
      </c>
      <c r="H18" s="35"/>
      <c r="I18" s="35"/>
      <c r="J18" s="48">
        <v>9</v>
      </c>
      <c r="K18" s="35">
        <f>SUM(G18:J18)</f>
        <v>10</v>
      </c>
      <c r="L18" s="48">
        <f>+((C18+D18+E18+F18)-(G18+H18+I18+J18))*-1</f>
        <v>0</v>
      </c>
      <c r="M18" s="35"/>
    </row>
    <row r="19" spans="1:13">
      <c r="A19" s="53" t="s">
        <v>35</v>
      </c>
      <c r="B19" s="34">
        <f>SUM(C19:F19)</f>
        <v>15</v>
      </c>
      <c r="C19" s="34">
        <v>2</v>
      </c>
      <c r="D19" s="34">
        <v>2</v>
      </c>
      <c r="E19" s="34">
        <v>5</v>
      </c>
      <c r="F19" s="34">
        <v>6</v>
      </c>
      <c r="G19" s="35">
        <v>5.5</v>
      </c>
      <c r="H19" s="35"/>
      <c r="I19" s="35"/>
      <c r="J19" s="35"/>
      <c r="K19" s="35">
        <f>SUM(G19:J19)</f>
        <v>5.5</v>
      </c>
      <c r="L19" s="48">
        <f>+((C19+D19+E19+F19)-(G19+H19+I19+J19))*-1</f>
        <v>-9.5</v>
      </c>
      <c r="M19" s="35"/>
    </row>
    <row r="20" spans="1:13">
      <c r="A20" s="53" t="s">
        <v>37</v>
      </c>
      <c r="B20" s="34"/>
      <c r="C20" s="34"/>
      <c r="D20" s="34"/>
      <c r="E20" s="34"/>
      <c r="F20" s="34"/>
      <c r="G20" s="35"/>
      <c r="H20" s="35"/>
      <c r="I20" s="35"/>
      <c r="J20" s="35"/>
      <c r="K20" s="35">
        <f>SUM(G20:J20)</f>
        <v>0</v>
      </c>
      <c r="L20" s="48">
        <f>+((C20+D20+E20+F20)-(G20+H20+I20+J20))*-1</f>
        <v>0</v>
      </c>
      <c r="M20" s="35"/>
    </row>
    <row r="21" spans="1:13">
      <c r="A21" s="53" t="s">
        <v>38</v>
      </c>
      <c r="B21" s="34">
        <f>SUM(C21:F21)</f>
        <v>30</v>
      </c>
      <c r="C21" s="34">
        <v>5</v>
      </c>
      <c r="D21" s="34">
        <v>7</v>
      </c>
      <c r="E21" s="34">
        <v>8</v>
      </c>
      <c r="F21" s="34">
        <v>10</v>
      </c>
      <c r="G21" s="38">
        <v>12</v>
      </c>
      <c r="H21" s="35"/>
      <c r="I21" s="35">
        <v>13</v>
      </c>
      <c r="J21" s="35">
        <v>1</v>
      </c>
      <c r="K21" s="35">
        <f>SUM(G21:J21)</f>
        <v>26</v>
      </c>
      <c r="L21" s="48">
        <f>+((C21+D21+E21+F21)-(G21+H21+I21+J21))*-1</f>
        <v>-4</v>
      </c>
      <c r="M21" s="35">
        <v>4</v>
      </c>
    </row>
    <row r="22" spans="1:13">
      <c r="A22" s="54" t="s">
        <v>39</v>
      </c>
      <c r="B22" s="147">
        <f>SUM(B8:B21)</f>
        <v>170</v>
      </c>
      <c r="C22" s="147">
        <f>SUM(C8:C21)</f>
        <v>31</v>
      </c>
      <c r="D22" s="147">
        <f t="shared" ref="D22:M22" si="3">SUM(D8:D21)</f>
        <v>35</v>
      </c>
      <c r="E22" s="147">
        <f>SUM(E8:E21)</f>
        <v>48</v>
      </c>
      <c r="F22" s="147">
        <f>SUM(F8:F21)</f>
        <v>56</v>
      </c>
      <c r="G22" s="147">
        <f>SUM(G8:G21)</f>
        <v>46.5</v>
      </c>
      <c r="H22" s="147">
        <f>SUM(H8:H21)</f>
        <v>8.5</v>
      </c>
      <c r="I22" s="147">
        <f>SUM(I8:I21)</f>
        <v>43.5</v>
      </c>
      <c r="J22" s="147">
        <f>SUM(J8:J21)</f>
        <v>61.5</v>
      </c>
      <c r="K22" s="108">
        <f>SUM(G22:J22)</f>
        <v>160</v>
      </c>
      <c r="L22" s="48">
        <f>+((C22+D22+E22+F22)-(G22+H22+I22+J22))*-1</f>
        <v>-10</v>
      </c>
      <c r="M22" s="147">
        <f>SUM(M8:M21)</f>
        <v>251</v>
      </c>
    </row>
    <row r="23" spans="1:15">
      <c r="A23" s="148" t="s">
        <v>40</v>
      </c>
      <c r="B23" s="149"/>
      <c r="C23" s="23" t="s">
        <v>14</v>
      </c>
      <c r="D23" s="23"/>
      <c r="E23" s="23"/>
      <c r="F23" s="24"/>
      <c r="G23" s="11" t="s">
        <v>15</v>
      </c>
      <c r="H23" s="23"/>
      <c r="I23" s="23"/>
      <c r="J23" s="24"/>
      <c r="K23" s="63"/>
      <c r="L23" s="64"/>
      <c r="M23" s="107"/>
      <c r="N23" s="89"/>
      <c r="O23" s="90"/>
    </row>
    <row r="24" ht="25.5" spans="1:15">
      <c r="A24" s="25" t="s">
        <v>16</v>
      </c>
      <c r="B24" s="25" t="s">
        <v>17</v>
      </c>
      <c r="C24" s="25" t="s">
        <v>18</v>
      </c>
      <c r="D24" s="25" t="s">
        <v>19</v>
      </c>
      <c r="E24" s="25" t="s">
        <v>20</v>
      </c>
      <c r="F24" s="25" t="s">
        <v>57</v>
      </c>
      <c r="G24" s="25" t="s">
        <v>18</v>
      </c>
      <c r="H24" s="25" t="s">
        <v>73</v>
      </c>
      <c r="I24" s="25" t="s">
        <v>74</v>
      </c>
      <c r="J24" s="25" t="s">
        <v>75</v>
      </c>
      <c r="K24" s="25" t="s">
        <v>22</v>
      </c>
      <c r="L24" s="25" t="s">
        <v>41</v>
      </c>
      <c r="M24" s="47" t="s">
        <v>42</v>
      </c>
      <c r="N24" s="89"/>
      <c r="O24" s="90"/>
    </row>
    <row r="25" spans="1:15">
      <c r="A25" s="29" t="s">
        <v>25</v>
      </c>
      <c r="B25" s="48">
        <f>SUM(C25:F25)</f>
        <v>8.45</v>
      </c>
      <c r="C25" s="35">
        <v>1</v>
      </c>
      <c r="D25" s="34">
        <v>2.25</v>
      </c>
      <c r="E25" s="34">
        <v>2.2</v>
      </c>
      <c r="F25" s="34">
        <v>3</v>
      </c>
      <c r="G25" s="49">
        <f>(17200+32350+27450+42850+43750+39700)/100000</f>
        <v>2.033</v>
      </c>
      <c r="H25" s="50">
        <f>(57200+41100+15950+14600+71200)/100000</f>
        <v>2.0005</v>
      </c>
      <c r="I25" s="50">
        <f>(25000+26400+35000+14600+37450)/100000</f>
        <v>1.3845</v>
      </c>
      <c r="J25" s="50">
        <f>(43450+55100+72900+19000+13200+13900+5250)/100000</f>
        <v>2.228</v>
      </c>
      <c r="K25" s="50">
        <f t="shared" ref="K25:K37" si="4">SUM(G25:J25)</f>
        <v>7.646</v>
      </c>
      <c r="L25" s="50">
        <f>+((C25+D25+E25+F25)-(G25+H25+I25+J25))*-1</f>
        <v>-0.803999999999999</v>
      </c>
      <c r="M25" s="91">
        <f>+K25/B25</f>
        <v>0.904852071005917</v>
      </c>
      <c r="N25" s="89"/>
      <c r="O25" s="90"/>
    </row>
    <row r="26" spans="1:15">
      <c r="A26" s="29" t="s">
        <v>26</v>
      </c>
      <c r="B26" s="48">
        <f t="shared" ref="B26:B37" si="5">SUM(C26:F26)</f>
        <v>9.25</v>
      </c>
      <c r="C26" s="35">
        <v>1.25</v>
      </c>
      <c r="D26" s="34">
        <v>2.75</v>
      </c>
      <c r="E26" s="34">
        <v>2</v>
      </c>
      <c r="F26" s="34">
        <v>3.25</v>
      </c>
      <c r="G26" s="129">
        <f>(4750+6100+9000+33000+48800+29100)/100000</f>
        <v>1.3075</v>
      </c>
      <c r="H26" s="130">
        <f>(60000+49200+39500+31000+56300)/100000</f>
        <v>2.36</v>
      </c>
      <c r="I26" s="50">
        <f>(19800+99200+30700+59900+25400)/100000</f>
        <v>2.35</v>
      </c>
      <c r="J26" s="134">
        <f>(86400+67150+11200+34900+33000+55400+40700)/100000</f>
        <v>3.2875</v>
      </c>
      <c r="K26" s="50">
        <f>SUM(G26:J26)</f>
        <v>9.305</v>
      </c>
      <c r="L26" s="50">
        <f t="shared" ref="L26:L38" si="6">+((C26+D26+E26+F26)-(G26+H26+I26+J26))*-1</f>
        <v>0.0549999999999997</v>
      </c>
      <c r="M26" s="91">
        <f>+K26/B26</f>
        <v>1.00594594594595</v>
      </c>
      <c r="N26" s="92"/>
      <c r="O26" s="93"/>
    </row>
    <row r="27" spans="1:15">
      <c r="A27" s="29" t="s">
        <v>27</v>
      </c>
      <c r="B27" s="48">
        <f>SUM(C27:F27)</f>
        <v>6.25</v>
      </c>
      <c r="C27" s="34">
        <v>1.1</v>
      </c>
      <c r="D27" s="34">
        <v>1.75</v>
      </c>
      <c r="E27" s="34">
        <v>1</v>
      </c>
      <c r="F27" s="34">
        <v>2.4</v>
      </c>
      <c r="G27" s="129">
        <f>(8700+6500+8300+14100)/100000</f>
        <v>0.376</v>
      </c>
      <c r="H27" s="50">
        <f>(60200+26600+10300+35200+11300)/100000</f>
        <v>1.436</v>
      </c>
      <c r="I27" s="50">
        <f>(8500+24600+7600+25800+21300)/100000</f>
        <v>0.878</v>
      </c>
      <c r="J27" s="134">
        <f>(41600+47900+47300+37400+29900+10900+21100)/100000</f>
        <v>2.361</v>
      </c>
      <c r="K27" s="50">
        <f>SUM(G27:J27)</f>
        <v>5.051</v>
      </c>
      <c r="L27" s="50">
        <f>+((C27+D27+E27+F27)-(G27+H27+I27+J27))*-1</f>
        <v>-1.199</v>
      </c>
      <c r="M27" s="91">
        <f t="shared" ref="M27:M38" si="7">+K27/B27</f>
        <v>0.80816</v>
      </c>
      <c r="N27" s="92"/>
      <c r="O27" s="93"/>
    </row>
    <row r="28" spans="1:15">
      <c r="A28" s="29" t="s">
        <v>28</v>
      </c>
      <c r="B28" s="48">
        <f>SUM(C28:F28)</f>
        <v>6.5</v>
      </c>
      <c r="C28" s="34">
        <v>1.25</v>
      </c>
      <c r="D28" s="34">
        <v>1.5</v>
      </c>
      <c r="E28" s="34">
        <v>1.25</v>
      </c>
      <c r="F28" s="34">
        <v>2.5</v>
      </c>
      <c r="G28" s="129">
        <f>(18050+10400+24600+13400+15090+13000)/100000</f>
        <v>0.9454</v>
      </c>
      <c r="H28" s="140">
        <f>(4000+18200+36000+20300+50330)/100000</f>
        <v>1.2883</v>
      </c>
      <c r="I28" s="50">
        <f>(21000+12600+18950+8800+46700)/100000</f>
        <v>1.0805</v>
      </c>
      <c r="J28" s="134">
        <f>(24360+51200+32600+15200+58700+42125+51200)/100000</f>
        <v>2.75385</v>
      </c>
      <c r="K28" s="50">
        <f>SUM(G28:J28)</f>
        <v>6.06805</v>
      </c>
      <c r="L28" s="50">
        <f>+((C28+D28+E28+F28)-(G28+H28+I28+J28))*-1</f>
        <v>-0.431950000000001</v>
      </c>
      <c r="M28" s="91">
        <f>+K28/B28</f>
        <v>0.933546153846154</v>
      </c>
      <c r="N28" s="92"/>
      <c r="O28" s="93"/>
    </row>
    <row r="29" spans="1:15">
      <c r="A29" s="29" t="s">
        <v>29</v>
      </c>
      <c r="B29" s="48">
        <f>SUM(C29:F29)</f>
        <v>2</v>
      </c>
      <c r="C29" s="34">
        <v>0.25</v>
      </c>
      <c r="D29" s="34">
        <v>0.6</v>
      </c>
      <c r="E29" s="34">
        <v>0.45</v>
      </c>
      <c r="F29" s="34">
        <v>0.7</v>
      </c>
      <c r="G29" s="129">
        <f>(15000+21400+18200)/100000</f>
        <v>0.546</v>
      </c>
      <c r="H29" s="50">
        <f>(8800+20000+9400)/100000</f>
        <v>0.382</v>
      </c>
      <c r="I29" s="50">
        <f>(5000+20000+8800+4400)/100000</f>
        <v>0.382</v>
      </c>
      <c r="J29" s="134">
        <f>(18200+15000+32200+7200)/100000</f>
        <v>0.726</v>
      </c>
      <c r="K29" s="50">
        <f>SUM(G29:J29)</f>
        <v>2.036</v>
      </c>
      <c r="L29" s="50">
        <f>+((C29+D29+E29+F29)-(G29+H29+I29+J29))*-1</f>
        <v>0.036</v>
      </c>
      <c r="M29" s="91">
        <f>+K29/B29</f>
        <v>1.018</v>
      </c>
      <c r="N29" s="92"/>
      <c r="O29" s="93"/>
    </row>
    <row r="30" spans="1:15">
      <c r="A30" s="51" t="s">
        <v>30</v>
      </c>
      <c r="B30" s="48">
        <f>SUM(C30:F30)</f>
        <v>6.75</v>
      </c>
      <c r="C30" s="35">
        <v>1.5</v>
      </c>
      <c r="D30" s="52">
        <v>1.4</v>
      </c>
      <c r="E30" s="52">
        <v>1.4</v>
      </c>
      <c r="F30" s="52">
        <v>2.45</v>
      </c>
      <c r="G30" s="129">
        <f>(9000+4400+55600+17600)/100000</f>
        <v>0.866</v>
      </c>
      <c r="H30" s="50">
        <f>(15000+15000+8500+22000)/100000</f>
        <v>0.605</v>
      </c>
      <c r="I30" s="50">
        <f>(10000+33900+4400+22000+19700)/100000</f>
        <v>0.9</v>
      </c>
      <c r="J30" s="134">
        <f>(15000+101900+55000+1776+111000+22600)/100000</f>
        <v>3.07276</v>
      </c>
      <c r="K30" s="50">
        <f>SUM(G30:J30)</f>
        <v>5.44376</v>
      </c>
      <c r="L30" s="50">
        <f>+((C30+D30+E30+F30)-(G30+H30+I30+J30))*-1</f>
        <v>-1.30624</v>
      </c>
      <c r="M30" s="91">
        <f>+K30/B30</f>
        <v>0.806482962962963</v>
      </c>
      <c r="N30" s="94"/>
      <c r="O30" s="95"/>
    </row>
    <row r="31" spans="1:15">
      <c r="A31" s="51" t="s">
        <v>31</v>
      </c>
      <c r="B31" s="48">
        <f>SUM(C31:F31)</f>
        <v>6.25</v>
      </c>
      <c r="C31" s="35">
        <v>1.35</v>
      </c>
      <c r="D31" s="52">
        <v>1.6</v>
      </c>
      <c r="E31" s="52">
        <v>1.4</v>
      </c>
      <c r="F31" s="52">
        <v>1.9</v>
      </c>
      <c r="G31" s="129">
        <f>(25200+28100+21000+18500+22600+27700)/100000</f>
        <v>1.431</v>
      </c>
      <c r="H31" s="50">
        <f>(8400+19800+24700+21000+30400)/100000</f>
        <v>1.043</v>
      </c>
      <c r="I31" s="50">
        <f>(21500+11000+28450+27200+32550)/100000</f>
        <v>1.207</v>
      </c>
      <c r="J31" s="134">
        <f>(25500+29550+28500+26600+25200+32100+25800)/100000</f>
        <v>1.9325</v>
      </c>
      <c r="K31" s="50">
        <f>SUM(G31:J31)</f>
        <v>5.6135</v>
      </c>
      <c r="L31" s="50">
        <f>+((C31+D31+E31+F31)-(G31+H31+I31+J31))*-1</f>
        <v>-0.6365</v>
      </c>
      <c r="M31" s="91">
        <f>+K31/B31</f>
        <v>0.89816</v>
      </c>
      <c r="N31" s="92"/>
      <c r="O31" s="93"/>
    </row>
    <row r="32" spans="1:15">
      <c r="A32" s="51" t="s">
        <v>32</v>
      </c>
      <c r="B32" s="48">
        <f>SUM(C32:F32)</f>
        <v>7.25</v>
      </c>
      <c r="C32" s="35">
        <v>1.4</v>
      </c>
      <c r="D32" s="52">
        <v>1.7</v>
      </c>
      <c r="E32" s="52">
        <v>1.6</v>
      </c>
      <c r="F32" s="52">
        <v>2.55</v>
      </c>
      <c r="G32" s="129">
        <f>(20200+15400+20400+50715+13750+24700)/100000</f>
        <v>1.45165</v>
      </c>
      <c r="H32" s="50">
        <f>(47800+22100+20000+15700+15200)/100000</f>
        <v>1.208</v>
      </c>
      <c r="I32" s="50">
        <f>(17000+32300+48989+31600+14700)/100000</f>
        <v>1.44589</v>
      </c>
      <c r="J32" s="134">
        <f>(15500+39100+18800+20900+31666+26600+20500+6000)/100000</f>
        <v>1.79066</v>
      </c>
      <c r="K32" s="50">
        <f>SUM(G32:J32)</f>
        <v>5.8962</v>
      </c>
      <c r="L32" s="50">
        <f>+((C32+D32+E32+F32)-(G32+H32+I32+J32))*-1</f>
        <v>-1.3538</v>
      </c>
      <c r="M32" s="91">
        <f>+K32/B32</f>
        <v>0.813268965517241</v>
      </c>
      <c r="N32" s="92"/>
      <c r="O32" s="93"/>
    </row>
    <row r="33" spans="1:15">
      <c r="A33" s="51" t="s">
        <v>34</v>
      </c>
      <c r="B33" s="48">
        <f>SUM(C33:F33)</f>
        <v>4.25</v>
      </c>
      <c r="C33" s="35">
        <v>0.8</v>
      </c>
      <c r="D33" s="52">
        <v>1</v>
      </c>
      <c r="E33" s="52">
        <v>1.1</v>
      </c>
      <c r="F33" s="52">
        <v>1.35</v>
      </c>
      <c r="G33" s="129">
        <f>(13100+10900+14600+10600+5300+14900)/100000</f>
        <v>0.694</v>
      </c>
      <c r="H33" s="50">
        <f>(24700+5000+15500+15600+27900)/100000</f>
        <v>0.887</v>
      </c>
      <c r="I33" s="50">
        <f>(20600+12200+33300+12700+30150)/100000</f>
        <v>1.0895</v>
      </c>
      <c r="J33" s="134">
        <f>(18900+55830+27200+16400+25700+20600+28700)/100000</f>
        <v>1.9333</v>
      </c>
      <c r="K33" s="50">
        <f>SUM(G33:J33)</f>
        <v>4.6038</v>
      </c>
      <c r="L33" s="50">
        <f>+((C33+D33+E33+F33)-(G33+H33+I33+J33))*-1</f>
        <v>0.3538</v>
      </c>
      <c r="M33" s="91">
        <f>+K33/B33</f>
        <v>1.08324705882353</v>
      </c>
      <c r="N33" s="92"/>
      <c r="O33" s="93"/>
    </row>
    <row r="34" spans="1:15">
      <c r="A34" s="51" t="s">
        <v>51</v>
      </c>
      <c r="B34" s="48">
        <f>SUM(C34:F34)</f>
        <v>6.75</v>
      </c>
      <c r="C34" s="35">
        <v>1.4</v>
      </c>
      <c r="D34" s="52">
        <v>1.5</v>
      </c>
      <c r="E34" s="52">
        <v>1.65</v>
      </c>
      <c r="F34" s="52">
        <v>2.2</v>
      </c>
      <c r="G34" s="129">
        <f>(11800+14500+25600+16810+8020+19560)/100000</f>
        <v>0.9629</v>
      </c>
      <c r="H34" s="50">
        <f>(16700+32100+33100+15700+19500)/100000</f>
        <v>1.171</v>
      </c>
      <c r="I34" s="50">
        <f>(14650+11650+20500+11600+29200)/100000</f>
        <v>0.876</v>
      </c>
      <c r="J34" s="134">
        <f>(14000+38500+43100+18500+29100+56500+46200)/100000</f>
        <v>2.459</v>
      </c>
      <c r="K34" s="50">
        <f>SUM(G34:J34)</f>
        <v>5.4689</v>
      </c>
      <c r="L34" s="50">
        <f>+((C34+D34+E34+F34)-(G34+H34+I34+J34))*-1</f>
        <v>-1.2811</v>
      </c>
      <c r="M34" s="91">
        <f>+K34/B34</f>
        <v>0.810207407407407</v>
      </c>
      <c r="N34" s="92"/>
      <c r="O34" s="93"/>
    </row>
    <row r="35" spans="1:15">
      <c r="A35" s="53" t="s">
        <v>37</v>
      </c>
      <c r="B35" s="48">
        <f>SUM(C35:F35)</f>
        <v>1.75</v>
      </c>
      <c r="C35" s="35">
        <v>0.25</v>
      </c>
      <c r="D35" s="52">
        <v>0.5</v>
      </c>
      <c r="E35" s="52">
        <v>0.25</v>
      </c>
      <c r="F35" s="52">
        <v>0.75</v>
      </c>
      <c r="G35" s="129">
        <f>(35200+8800)/100000</f>
        <v>0.44</v>
      </c>
      <c r="H35" s="50">
        <f>(6600)/100000</f>
        <v>0.066</v>
      </c>
      <c r="I35" s="50">
        <f>(17600)/100000</f>
        <v>0.176</v>
      </c>
      <c r="J35" s="134">
        <f>(37100)/100000</f>
        <v>0.371</v>
      </c>
      <c r="K35" s="50">
        <f>SUM(G35:J35)</f>
        <v>1.053</v>
      </c>
      <c r="L35" s="50">
        <f>+((C35+D35+E35+F35)-(G35+H35+I35+J35))*-1</f>
        <v>-0.697</v>
      </c>
      <c r="M35" s="91">
        <f>+K35/B35</f>
        <v>0.601714285714286</v>
      </c>
      <c r="N35" s="92"/>
      <c r="O35" s="93"/>
    </row>
    <row r="36" spans="1:15">
      <c r="A36" s="53" t="s">
        <v>35</v>
      </c>
      <c r="B36" s="48">
        <f>SUM(C36:F36)</f>
        <v>2.5</v>
      </c>
      <c r="C36" s="35">
        <v>0.5</v>
      </c>
      <c r="D36" s="52">
        <v>0.5</v>
      </c>
      <c r="E36" s="52">
        <v>0.5</v>
      </c>
      <c r="F36" s="52">
        <v>1</v>
      </c>
      <c r="G36" s="129">
        <f>(10650)/100000</f>
        <v>0.1065</v>
      </c>
      <c r="H36" s="50">
        <f>(48400)/100000</f>
        <v>0.484</v>
      </c>
      <c r="I36" s="50">
        <f>(55915)/100000</f>
        <v>0.55915</v>
      </c>
      <c r="J36" s="134">
        <f>(72600+102000)/100000</f>
        <v>1.746</v>
      </c>
      <c r="K36" s="50">
        <f>SUM(G36:J36)</f>
        <v>2.89565</v>
      </c>
      <c r="L36" s="50">
        <f>+((C36+D36+E36+F36)-(G36+H36+I36+J36))*-1</f>
        <v>0.39565</v>
      </c>
      <c r="M36" s="91">
        <f>+K36/B36</f>
        <v>1.15826</v>
      </c>
      <c r="N36" s="92"/>
      <c r="O36" s="93"/>
    </row>
    <row r="37" spans="1:15">
      <c r="A37" s="53" t="s">
        <v>38</v>
      </c>
      <c r="B37" s="48">
        <f>SUM(C37:F37)</f>
        <v>10.6</v>
      </c>
      <c r="C37" s="35">
        <v>1.8</v>
      </c>
      <c r="D37" s="52">
        <v>2</v>
      </c>
      <c r="E37" s="52">
        <v>3</v>
      </c>
      <c r="F37" s="52">
        <v>3.8</v>
      </c>
      <c r="G37" s="129">
        <f>(27380+17500+4900+2000+49945+27900+22000+2560)/100000</f>
        <v>1.54185</v>
      </c>
      <c r="H37" s="50">
        <f>(39840+131430+29100+68013+13600)/100000</f>
        <v>2.81983</v>
      </c>
      <c r="I37" s="50">
        <f>(31517+4400+132620+18200+219400)/100000</f>
        <v>4.06137</v>
      </c>
      <c r="J37" s="134">
        <f>(30800+48420+35673+64400+19600+14300+38920)/100000</f>
        <v>2.52113</v>
      </c>
      <c r="K37" s="50">
        <f>SUM(G37:J37)</f>
        <v>10.94418</v>
      </c>
      <c r="L37" s="50">
        <f>+((C37+D37+E37+F37)-(G37+H37+I37+J37))*-1</f>
        <v>0.34418</v>
      </c>
      <c r="M37" s="91">
        <f>+K37/B37</f>
        <v>1.03246981132075</v>
      </c>
      <c r="N37" s="92"/>
      <c r="O37" s="93"/>
    </row>
    <row r="38" spans="1:15">
      <c r="A38" s="54" t="s">
        <v>44</v>
      </c>
      <c r="B38" s="48">
        <f t="shared" ref="B38:K38" si="8">SUM(B25:B37)</f>
        <v>78.55</v>
      </c>
      <c r="C38" s="35">
        <f>SUM(C25:C37)</f>
        <v>13.85</v>
      </c>
      <c r="D38" s="48">
        <f>SUM(D25:D37)</f>
        <v>19.05</v>
      </c>
      <c r="E38" s="48">
        <f>SUM(E25:E37)</f>
        <v>17.8</v>
      </c>
      <c r="F38" s="48">
        <f>SUM(F25:F37)</f>
        <v>27.85</v>
      </c>
      <c r="G38" s="131">
        <f>SUM(G25:G37)</f>
        <v>12.7018</v>
      </c>
      <c r="H38" s="50">
        <f>SUM(H25:H37)</f>
        <v>15.75063</v>
      </c>
      <c r="I38" s="50">
        <f>SUM(I25:I37)</f>
        <v>16.38991</v>
      </c>
      <c r="J38" s="134">
        <f>SUM(J25:J37)</f>
        <v>27.1827</v>
      </c>
      <c r="K38" s="135">
        <f>SUM(K25:K37)</f>
        <v>72.02504</v>
      </c>
      <c r="L38" s="50">
        <f>+((C38+D38+E38+F38)-(G38+H38+I38+J38))*-1</f>
        <v>-6.52496000000002</v>
      </c>
      <c r="M38" s="154">
        <f>+K38/B38</f>
        <v>0.916932399745385</v>
      </c>
      <c r="N38" s="92"/>
      <c r="O38" s="93"/>
    </row>
    <row r="39" spans="1:15">
      <c r="A39" s="55"/>
      <c r="B39" s="56"/>
      <c r="C39" s="57"/>
      <c r="D39" s="57"/>
      <c r="N39" s="94"/>
      <c r="O39" s="95"/>
    </row>
    <row r="40" spans="14:15">
      <c r="N40" s="92"/>
      <c r="O40" s="93"/>
    </row>
    <row r="41" spans="14:15">
      <c r="N41" s="92"/>
      <c r="O41" s="93"/>
    </row>
    <row r="42" spans="14:15">
      <c r="N42" s="92"/>
      <c r="O42" s="93"/>
    </row>
    <row r="43" spans="14:15">
      <c r="N43" s="92"/>
      <c r="O43" s="93"/>
    </row>
    <row r="44" spans="14:15">
      <c r="N44" s="92"/>
      <c r="O44" s="93"/>
    </row>
    <row r="45" spans="14:15">
      <c r="N45" s="92"/>
      <c r="O45" s="93"/>
    </row>
    <row r="46" spans="14:15">
      <c r="N46" s="92"/>
      <c r="O46" s="93"/>
    </row>
    <row r="47" spans="14:15">
      <c r="N47" s="92"/>
      <c r="O47" s="93"/>
    </row>
    <row r="48" spans="14:15">
      <c r="N48" s="92"/>
      <c r="O48" s="93"/>
    </row>
    <row r="49" spans="14:15">
      <c r="N49" s="94"/>
      <c r="O49" s="95"/>
    </row>
    <row r="50" spans="14:15">
      <c r="N50" s="92"/>
      <c r="O50" s="93"/>
    </row>
    <row r="51" spans="14:15">
      <c r="N51" s="92"/>
      <c r="O51" s="93"/>
    </row>
    <row r="52" spans="14:15">
      <c r="N52" s="92"/>
      <c r="O52" s="93"/>
    </row>
    <row r="53" spans="14:15">
      <c r="N53" s="92"/>
      <c r="O53" s="93"/>
    </row>
    <row r="54" spans="14:15">
      <c r="N54" s="92"/>
      <c r="O54" s="93"/>
    </row>
    <row r="55" spans="14:15">
      <c r="N55" s="92"/>
      <c r="O55" s="93"/>
    </row>
    <row r="56" spans="14:15">
      <c r="N56" s="92"/>
      <c r="O56" s="93"/>
    </row>
    <row r="57" spans="14:15">
      <c r="N57" s="94"/>
      <c r="O57" s="95"/>
    </row>
    <row r="58" spans="14:15">
      <c r="N58" s="92"/>
      <c r="O58" s="93"/>
    </row>
    <row r="59" spans="14:15">
      <c r="N59" s="92"/>
      <c r="O59" s="93"/>
    </row>
    <row r="60" spans="14:15">
      <c r="N60" s="92"/>
      <c r="O60" s="93"/>
    </row>
    <row r="61" spans="14:15">
      <c r="N61" s="92"/>
      <c r="O61" s="93"/>
    </row>
    <row r="62" spans="14:15">
      <c r="N62" s="92"/>
      <c r="O62" s="93"/>
    </row>
    <row r="63" spans="14:15">
      <c r="N63" s="92"/>
      <c r="O63" s="93"/>
    </row>
    <row r="64" spans="14:15">
      <c r="N64" s="92"/>
      <c r="O64" s="93"/>
    </row>
    <row r="65" spans="14:15">
      <c r="N65" s="92"/>
      <c r="O65" s="96"/>
    </row>
  </sheetData>
  <mergeCells count="6">
    <mergeCell ref="B1:M1"/>
    <mergeCell ref="D5:F5"/>
    <mergeCell ref="C6:F6"/>
    <mergeCell ref="G6:J6"/>
    <mergeCell ref="C23:F23"/>
    <mergeCell ref="G23:J23"/>
  </mergeCells>
  <pageMargins left="0.699305555555556" right="1.95" top="0.75" bottom="0.75" header="0.3" footer="0.3"/>
  <pageSetup paperSize="9" scale="80" orientation="landscape" verticalDpi="180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9"/>
  <sheetViews>
    <sheetView workbookViewId="0">
      <selection activeCell="A1" sqref="A1:M42"/>
    </sheetView>
  </sheetViews>
  <sheetFormatPr defaultColWidth="9" defaultRowHeight="15"/>
  <cols>
    <col min="1" max="1" width="18.8571428571429" style="1" customWidth="1"/>
    <col min="2" max="2" width="10.1428571428571" style="2" customWidth="1"/>
    <col min="3" max="3" width="9.42857142857143" style="1" customWidth="1"/>
    <col min="4" max="5" width="9.71428571428571" style="1" customWidth="1"/>
    <col min="6" max="6" width="10.2857142857143" style="1" customWidth="1"/>
    <col min="7" max="7" width="10.1428571428571" style="1" customWidth="1"/>
    <col min="8" max="8" width="10.2857142857143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spans="1:13">
      <c r="A1" s="125" t="s">
        <v>82</v>
      </c>
      <c r="B1" s="119" t="s">
        <v>83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spans="1:13">
      <c r="A2" s="6" t="s">
        <v>2</v>
      </c>
      <c r="B2" s="7">
        <f>+K24</f>
        <v>196</v>
      </c>
      <c r="C2" s="8"/>
      <c r="D2" s="8"/>
      <c r="E2" s="8"/>
      <c r="F2" s="8"/>
      <c r="G2" s="8"/>
      <c r="H2" s="8"/>
      <c r="I2" s="8"/>
      <c r="J2" s="8"/>
      <c r="K2" s="8"/>
      <c r="L2" s="8"/>
      <c r="M2" s="104"/>
    </row>
    <row r="3" spans="1:13">
      <c r="A3" s="6" t="s">
        <v>3</v>
      </c>
      <c r="B3" s="7">
        <f>+M24</f>
        <v>311</v>
      </c>
      <c r="C3" s="8"/>
      <c r="D3" s="8"/>
      <c r="E3" s="8"/>
      <c r="F3" s="8"/>
      <c r="G3" s="8"/>
      <c r="H3" s="8"/>
      <c r="I3" s="8"/>
      <c r="J3" s="8"/>
      <c r="K3" s="8"/>
      <c r="L3" s="8"/>
      <c r="M3" s="104"/>
    </row>
    <row r="4" spans="1:13">
      <c r="A4" s="6" t="s">
        <v>84</v>
      </c>
      <c r="B4" s="11"/>
      <c r="C4" s="12"/>
      <c r="D4" s="13" t="s">
        <v>5</v>
      </c>
      <c r="E4" s="12">
        <v>8.5</v>
      </c>
      <c r="F4" s="12"/>
      <c r="G4" s="14" t="s">
        <v>78</v>
      </c>
      <c r="H4" s="155"/>
      <c r="I4" s="12" t="s">
        <v>7</v>
      </c>
      <c r="J4" s="13">
        <f>+K42</f>
        <v>86.39248</v>
      </c>
      <c r="K4" s="12" t="s">
        <v>8</v>
      </c>
      <c r="L4" s="12" t="s">
        <v>85</v>
      </c>
      <c r="M4" s="106">
        <v>3</v>
      </c>
    </row>
    <row r="5" spans="1:13">
      <c r="A5" s="16" t="s">
        <v>10</v>
      </c>
      <c r="B5" s="17" t="s">
        <v>86</v>
      </c>
      <c r="C5" s="18" t="s">
        <v>63</v>
      </c>
      <c r="D5" s="19">
        <v>8651750</v>
      </c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5.5" spans="1:13">
      <c r="A7" s="25" t="s">
        <v>16</v>
      </c>
      <c r="B7" s="25" t="s">
        <v>17</v>
      </c>
      <c r="C7" s="25" t="s">
        <v>18</v>
      </c>
      <c r="D7" s="25" t="s">
        <v>19</v>
      </c>
      <c r="E7" s="25" t="s">
        <v>20</v>
      </c>
      <c r="F7" s="25" t="s">
        <v>56</v>
      </c>
      <c r="G7" s="25" t="s">
        <v>18</v>
      </c>
      <c r="H7" s="25" t="s">
        <v>73</v>
      </c>
      <c r="I7" s="25" t="s">
        <v>74</v>
      </c>
      <c r="J7" s="25" t="s">
        <v>75</v>
      </c>
      <c r="K7" s="25" t="s">
        <v>22</v>
      </c>
      <c r="L7" s="25" t="s">
        <v>23</v>
      </c>
      <c r="M7" s="25" t="s">
        <v>24</v>
      </c>
    </row>
    <row r="8" spans="1:13">
      <c r="A8" s="29" t="s">
        <v>25</v>
      </c>
      <c r="B8" s="34">
        <f>SUM(C8:F8)</f>
        <v>15</v>
      </c>
      <c r="C8" s="34">
        <v>2</v>
      </c>
      <c r="D8" s="34">
        <v>3</v>
      </c>
      <c r="E8" s="34">
        <v>5</v>
      </c>
      <c r="F8" s="34">
        <v>5</v>
      </c>
      <c r="G8" s="48">
        <v>4</v>
      </c>
      <c r="H8" s="48"/>
      <c r="I8" s="48"/>
      <c r="J8" s="48">
        <v>10</v>
      </c>
      <c r="K8" s="48">
        <f t="shared" ref="K8:K24" si="0">SUM(G8:J8)</f>
        <v>14</v>
      </c>
      <c r="L8" s="48">
        <f>+((C8+D8+E8+F8)-(G8+H8+I8+J8))*-1</f>
        <v>-1</v>
      </c>
      <c r="M8" s="48">
        <v>1</v>
      </c>
    </row>
    <row r="9" spans="1:13">
      <c r="A9" s="29" t="s">
        <v>26</v>
      </c>
      <c r="B9" s="34">
        <f t="shared" ref="B9:B23" si="1">SUM(C9:F9)</f>
        <v>15</v>
      </c>
      <c r="C9" s="34">
        <v>5</v>
      </c>
      <c r="D9" s="34">
        <v>3</v>
      </c>
      <c r="E9" s="34">
        <v>5</v>
      </c>
      <c r="F9" s="34">
        <v>2</v>
      </c>
      <c r="G9" s="48">
        <v>10.5</v>
      </c>
      <c r="H9" s="48">
        <v>4.5</v>
      </c>
      <c r="I9" s="48"/>
      <c r="J9" s="48"/>
      <c r="K9" s="48">
        <f>SUM(G9:J9)</f>
        <v>15</v>
      </c>
      <c r="L9" s="48">
        <f t="shared" ref="L9:L24" si="2">+((C9+D9+E9+F9)-(G9+H9+I9+J9))*-1</f>
        <v>0</v>
      </c>
      <c r="M9" s="48">
        <v>40</v>
      </c>
    </row>
    <row r="10" spans="1:13">
      <c r="A10" s="29" t="s">
        <v>27</v>
      </c>
      <c r="B10" s="34">
        <f>SUM(C10:F10)</f>
        <v>12</v>
      </c>
      <c r="C10" s="34">
        <v>2</v>
      </c>
      <c r="D10" s="34">
        <v>3</v>
      </c>
      <c r="E10" s="34">
        <v>4</v>
      </c>
      <c r="F10" s="34">
        <v>3</v>
      </c>
      <c r="G10" s="48"/>
      <c r="H10" s="48">
        <v>1</v>
      </c>
      <c r="I10" s="48">
        <v>7</v>
      </c>
      <c r="J10" s="48">
        <v>5</v>
      </c>
      <c r="K10" s="48">
        <f>SUM(G10:J10)</f>
        <v>13</v>
      </c>
      <c r="L10" s="48">
        <f>+((C10+D10+E10+F10)-(G10+H10+I10+J10))*-1</f>
        <v>1</v>
      </c>
      <c r="M10" s="48">
        <v>54</v>
      </c>
    </row>
    <row r="11" spans="1:13">
      <c r="A11" s="29" t="s">
        <v>28</v>
      </c>
      <c r="B11" s="34">
        <f>SUM(C11:F11)</f>
        <v>12</v>
      </c>
      <c r="C11" s="34">
        <v>3</v>
      </c>
      <c r="D11" s="34">
        <v>2</v>
      </c>
      <c r="E11" s="34">
        <v>4</v>
      </c>
      <c r="F11" s="34">
        <v>3</v>
      </c>
      <c r="G11" s="48">
        <v>1</v>
      </c>
      <c r="H11" s="48">
        <v>11</v>
      </c>
      <c r="I11" s="48"/>
      <c r="J11" s="48">
        <v>1.5</v>
      </c>
      <c r="K11" s="48">
        <f>SUM(G11:J11)</f>
        <v>13.5</v>
      </c>
      <c r="L11" s="48">
        <f>+((C11+D11+E11+F11)-(G11+H11+I11+J11))*-1</f>
        <v>1.5</v>
      </c>
      <c r="M11" s="48">
        <v>79</v>
      </c>
    </row>
    <row r="12" spans="1:13">
      <c r="A12" s="29" t="s">
        <v>29</v>
      </c>
      <c r="B12" s="34">
        <f>SUM(C12:F12)</f>
        <v>10</v>
      </c>
      <c r="C12" s="34">
        <v>2</v>
      </c>
      <c r="D12" s="34">
        <v>2</v>
      </c>
      <c r="E12" s="34">
        <v>3</v>
      </c>
      <c r="F12" s="34">
        <v>3</v>
      </c>
      <c r="G12" s="48"/>
      <c r="H12" s="48"/>
      <c r="I12" s="48">
        <v>3</v>
      </c>
      <c r="J12" s="48">
        <v>2.5</v>
      </c>
      <c r="K12" s="48">
        <f>SUM(G12:J12)</f>
        <v>5.5</v>
      </c>
      <c r="L12" s="48">
        <f>+((C12+D12+E12+F12)-(G12+H12+I12+J12))*-1</f>
        <v>-4.5</v>
      </c>
      <c r="M12" s="48">
        <v>1</v>
      </c>
    </row>
    <row r="13" spans="1:13">
      <c r="A13" s="29" t="s">
        <v>87</v>
      </c>
      <c r="B13" s="34">
        <f>SUM(C13:F13)</f>
        <v>5</v>
      </c>
      <c r="C13" s="34">
        <v>1</v>
      </c>
      <c r="D13" s="34">
        <v>1</v>
      </c>
      <c r="E13" s="34">
        <v>1</v>
      </c>
      <c r="F13" s="34">
        <v>2</v>
      </c>
      <c r="G13" s="48">
        <v>0.5</v>
      </c>
      <c r="H13" s="48">
        <v>3</v>
      </c>
      <c r="I13" s="48">
        <v>1.5</v>
      </c>
      <c r="J13" s="48">
        <v>4</v>
      </c>
      <c r="K13" s="48">
        <f>SUM(G13:J13)</f>
        <v>9</v>
      </c>
      <c r="L13" s="48">
        <f>+((C13+D13+E13+F13)-(G13+H13+I13+J13))*-1</f>
        <v>4</v>
      </c>
      <c r="M13" s="48"/>
    </row>
    <row r="14" spans="1:13">
      <c r="A14" s="51" t="s">
        <v>30</v>
      </c>
      <c r="B14" s="34">
        <f>SUM(C14:F14)</f>
        <v>16</v>
      </c>
      <c r="C14" s="34">
        <v>4</v>
      </c>
      <c r="D14" s="34">
        <v>4</v>
      </c>
      <c r="E14" s="34">
        <v>4</v>
      </c>
      <c r="F14" s="34">
        <v>4</v>
      </c>
      <c r="G14" s="48">
        <v>15</v>
      </c>
      <c r="H14" s="48">
        <v>1</v>
      </c>
      <c r="I14" s="48">
        <v>5</v>
      </c>
      <c r="J14" s="48">
        <v>3</v>
      </c>
      <c r="K14" s="48">
        <f>SUM(G14:J14)</f>
        <v>24</v>
      </c>
      <c r="L14" s="48">
        <f>+((C14+D14+E14+F14)-(G14+H14+I14+J14))*-1</f>
        <v>8</v>
      </c>
      <c r="M14" s="48">
        <v>28</v>
      </c>
    </row>
    <row r="15" spans="1:13">
      <c r="A15" s="51" t="s">
        <v>31</v>
      </c>
      <c r="B15" s="34">
        <f>SUM(C15:F15)</f>
        <v>10</v>
      </c>
      <c r="C15" s="34">
        <v>2</v>
      </c>
      <c r="D15" s="34">
        <v>2</v>
      </c>
      <c r="E15" s="34">
        <v>2</v>
      </c>
      <c r="F15" s="34">
        <v>4</v>
      </c>
      <c r="G15" s="48"/>
      <c r="H15" s="48">
        <v>2</v>
      </c>
      <c r="I15" s="48"/>
      <c r="J15" s="48">
        <v>5</v>
      </c>
      <c r="K15" s="48">
        <f>SUM(G15:J15)</f>
        <v>7</v>
      </c>
      <c r="L15" s="48">
        <f>+((C15+D15+E15+F15)-(G15+H15+I15+J15))*-1</f>
        <v>-3</v>
      </c>
      <c r="M15" s="48">
        <v>23</v>
      </c>
    </row>
    <row r="16" spans="1:13">
      <c r="A16" s="51" t="s">
        <v>36</v>
      </c>
      <c r="B16" s="34">
        <f>SUM(C16:F16)</f>
        <v>10</v>
      </c>
      <c r="C16" s="34">
        <v>1</v>
      </c>
      <c r="D16" s="34">
        <v>2</v>
      </c>
      <c r="E16" s="34">
        <v>2</v>
      </c>
      <c r="F16" s="137">
        <v>5</v>
      </c>
      <c r="G16" s="48"/>
      <c r="H16" s="48"/>
      <c r="I16" s="138">
        <v>5</v>
      </c>
      <c r="J16" s="48">
        <v>13</v>
      </c>
      <c r="K16" s="48">
        <f>SUM(G16:J16)</f>
        <v>18</v>
      </c>
      <c r="L16" s="48">
        <f>+((C16+D16+E16+F16)-(G16+H16+I16+J16))*-1</f>
        <v>8</v>
      </c>
      <c r="M16" s="48">
        <v>8</v>
      </c>
    </row>
    <row r="17" spans="1:13">
      <c r="A17" s="51" t="s">
        <v>32</v>
      </c>
      <c r="B17" s="34">
        <f>SUM(C17:F17)</f>
        <v>10</v>
      </c>
      <c r="C17" s="34">
        <v>1</v>
      </c>
      <c r="D17" s="34">
        <v>2</v>
      </c>
      <c r="E17" s="34">
        <v>3</v>
      </c>
      <c r="F17" s="34">
        <v>4</v>
      </c>
      <c r="G17" s="48">
        <v>1.5</v>
      </c>
      <c r="H17" s="48"/>
      <c r="I17" s="48">
        <v>2</v>
      </c>
      <c r="J17" s="48"/>
      <c r="K17" s="48">
        <f>SUM(G17:J17)</f>
        <v>3.5</v>
      </c>
      <c r="L17" s="48">
        <f>+((C17+D17+E17+F17)-(G17+H17+I17+J17))*-1</f>
        <v>-6.5</v>
      </c>
      <c r="M17" s="48">
        <v>9</v>
      </c>
    </row>
    <row r="18" spans="1:13">
      <c r="A18" s="51" t="s">
        <v>34</v>
      </c>
      <c r="B18" s="34">
        <f>SUM(C18:F18)</f>
        <v>10</v>
      </c>
      <c r="C18" s="34">
        <v>1</v>
      </c>
      <c r="D18" s="34">
        <v>2</v>
      </c>
      <c r="E18" s="34">
        <v>3</v>
      </c>
      <c r="F18" s="34">
        <v>4</v>
      </c>
      <c r="G18" s="48">
        <v>1</v>
      </c>
      <c r="H18" s="48"/>
      <c r="I18" s="48"/>
      <c r="J18" s="48">
        <v>4.5</v>
      </c>
      <c r="K18" s="48">
        <f>SUM(G18:J18)</f>
        <v>5.5</v>
      </c>
      <c r="L18" s="48">
        <f>+((C18+D18+E18+F18)-(G18+H18+I18+J18))*-1</f>
        <v>-4.5</v>
      </c>
      <c r="M18" s="48">
        <v>15</v>
      </c>
    </row>
    <row r="19" spans="1:13">
      <c r="A19" s="51" t="s">
        <v>88</v>
      </c>
      <c r="B19" s="34">
        <f>SUM(C19:F19)</f>
        <v>5</v>
      </c>
      <c r="C19" s="34">
        <v>1</v>
      </c>
      <c r="D19" s="34">
        <v>2</v>
      </c>
      <c r="E19" s="34">
        <v>1</v>
      </c>
      <c r="F19" s="34">
        <v>1</v>
      </c>
      <c r="G19" s="48">
        <v>1.5</v>
      </c>
      <c r="H19" s="48">
        <v>1</v>
      </c>
      <c r="I19" s="48">
        <v>2</v>
      </c>
      <c r="J19" s="48">
        <v>5.5</v>
      </c>
      <c r="K19" s="48">
        <f>SUM(G19:J19)</f>
        <v>10</v>
      </c>
      <c r="L19" s="48">
        <f>+((C19+D19+E19+F19)-(G19+H19+I19+J19))*-1</f>
        <v>5</v>
      </c>
      <c r="M19" s="48">
        <v>23</v>
      </c>
    </row>
    <row r="20" spans="1:13">
      <c r="A20" s="53" t="s">
        <v>33</v>
      </c>
      <c r="B20" s="34">
        <f>SUM(C20:F20)</f>
        <v>10</v>
      </c>
      <c r="C20" s="34">
        <v>1</v>
      </c>
      <c r="D20" s="34">
        <v>2</v>
      </c>
      <c r="E20" s="34">
        <v>2</v>
      </c>
      <c r="F20" s="34">
        <v>5</v>
      </c>
      <c r="G20" s="35"/>
      <c r="H20" s="35">
        <v>3.5</v>
      </c>
      <c r="I20" s="35">
        <v>2</v>
      </c>
      <c r="J20" s="48">
        <v>5</v>
      </c>
      <c r="K20" s="35">
        <f>SUM(G20:J20)</f>
        <v>10.5</v>
      </c>
      <c r="L20" s="48">
        <f>+((C20+D20+E20+F20)-(G20+H20+I20+J20))*-1</f>
        <v>0.5</v>
      </c>
      <c r="M20" s="35">
        <v>6</v>
      </c>
    </row>
    <row r="21" spans="1:13">
      <c r="A21" s="53" t="s">
        <v>35</v>
      </c>
      <c r="B21" s="34">
        <f>SUM(C21:F21)</f>
        <v>15</v>
      </c>
      <c r="C21" s="34">
        <v>2</v>
      </c>
      <c r="D21" s="34">
        <v>2</v>
      </c>
      <c r="E21" s="34">
        <v>5</v>
      </c>
      <c r="F21" s="34">
        <v>6</v>
      </c>
      <c r="G21" s="35"/>
      <c r="H21" s="35"/>
      <c r="I21" s="35"/>
      <c r="J21" s="35">
        <v>13.5</v>
      </c>
      <c r="K21" s="35">
        <f>SUM(G21:J21)</f>
        <v>13.5</v>
      </c>
      <c r="L21" s="48">
        <f>+((C21+D21+E21+F21)-(G21+H21+I21+J21))*-1</f>
        <v>-1.5</v>
      </c>
      <c r="M21" s="35"/>
    </row>
    <row r="22" spans="1:13">
      <c r="A22" s="53" t="s">
        <v>37</v>
      </c>
      <c r="B22" s="34"/>
      <c r="C22" s="34"/>
      <c r="D22" s="34"/>
      <c r="E22" s="34"/>
      <c r="F22" s="34"/>
      <c r="G22" s="35"/>
      <c r="H22" s="35"/>
      <c r="I22" s="35"/>
      <c r="J22" s="35">
        <v>1</v>
      </c>
      <c r="K22" s="35">
        <f>SUM(G22:J22)</f>
        <v>1</v>
      </c>
      <c r="L22" s="48">
        <f>+((C22+D22+E22+F22)-(G22+H22+I22+J22))*-1</f>
        <v>1</v>
      </c>
      <c r="M22" s="35">
        <v>4</v>
      </c>
    </row>
    <row r="23" spans="1:13">
      <c r="A23" s="53" t="s">
        <v>38</v>
      </c>
      <c r="B23" s="34">
        <f>SUM(C23:F23)</f>
        <v>30</v>
      </c>
      <c r="C23" s="34">
        <v>5</v>
      </c>
      <c r="D23" s="34">
        <v>7</v>
      </c>
      <c r="E23" s="34">
        <v>8</v>
      </c>
      <c r="F23" s="34">
        <v>10</v>
      </c>
      <c r="G23" s="38">
        <v>2</v>
      </c>
      <c r="H23" s="35">
        <v>4</v>
      </c>
      <c r="I23" s="35">
        <v>2</v>
      </c>
      <c r="J23" s="35">
        <v>25</v>
      </c>
      <c r="K23" s="35">
        <f>SUM(G23:J23)</f>
        <v>33</v>
      </c>
      <c r="L23" s="48">
        <f>+((C23+D23+E23+F23)-(G23+H23+I23+J23))*-1</f>
        <v>3</v>
      </c>
      <c r="M23" s="35">
        <v>20</v>
      </c>
    </row>
    <row r="24" spans="1:13">
      <c r="A24" s="54" t="s">
        <v>39</v>
      </c>
      <c r="B24" s="147">
        <f>SUM(B8:B23)</f>
        <v>185</v>
      </c>
      <c r="C24" s="147">
        <f>SUM(C8:C23)</f>
        <v>33</v>
      </c>
      <c r="D24" s="147">
        <f t="shared" ref="D24:M24" si="3">SUM(D8:D23)</f>
        <v>39</v>
      </c>
      <c r="E24" s="147">
        <f>SUM(E8:E23)</f>
        <v>52</v>
      </c>
      <c r="F24" s="147">
        <f>SUM(F8:F23)</f>
        <v>61</v>
      </c>
      <c r="G24" s="147">
        <f>SUM(G8:G23)</f>
        <v>37</v>
      </c>
      <c r="H24" s="147">
        <f>SUM(H8:H23)</f>
        <v>31</v>
      </c>
      <c r="I24" s="147">
        <f>SUM(I8:I23)</f>
        <v>29.5</v>
      </c>
      <c r="J24" s="147">
        <f>SUM(J8:J23)</f>
        <v>98.5</v>
      </c>
      <c r="K24" s="108">
        <f>SUM(G24:J24)</f>
        <v>196</v>
      </c>
      <c r="L24" s="78">
        <f>+((C24+D24+E24+F24)-(G24+H24+I24+J24))*-1</f>
        <v>11</v>
      </c>
      <c r="M24" s="147">
        <f>SUM(M8:M23)</f>
        <v>311</v>
      </c>
    </row>
    <row r="25" spans="1:15">
      <c r="A25" s="148" t="s">
        <v>40</v>
      </c>
      <c r="B25" s="149"/>
      <c r="C25" s="23" t="s">
        <v>14</v>
      </c>
      <c r="D25" s="23"/>
      <c r="E25" s="23"/>
      <c r="F25" s="24"/>
      <c r="G25" s="11" t="s">
        <v>15</v>
      </c>
      <c r="H25" s="23"/>
      <c r="I25" s="23"/>
      <c r="J25" s="24"/>
      <c r="K25" s="63"/>
      <c r="L25" s="64"/>
      <c r="M25" s="107"/>
      <c r="N25" s="89"/>
      <c r="O25" s="90"/>
    </row>
    <row r="26" ht="25.5" spans="1:15">
      <c r="A26" s="25" t="s">
        <v>16</v>
      </c>
      <c r="B26" s="25" t="s">
        <v>17</v>
      </c>
      <c r="C26" s="25" t="s">
        <v>18</v>
      </c>
      <c r="D26" s="25" t="s">
        <v>19</v>
      </c>
      <c r="E26" s="25" t="s">
        <v>20</v>
      </c>
      <c r="F26" s="25" t="s">
        <v>57</v>
      </c>
      <c r="G26" s="25" t="s">
        <v>18</v>
      </c>
      <c r="H26" s="25" t="s">
        <v>73</v>
      </c>
      <c r="I26" s="25" t="s">
        <v>74</v>
      </c>
      <c r="J26" s="25" t="s">
        <v>75</v>
      </c>
      <c r="K26" s="25" t="s">
        <v>22</v>
      </c>
      <c r="L26" s="25" t="s">
        <v>41</v>
      </c>
      <c r="M26" s="47" t="s">
        <v>42</v>
      </c>
      <c r="N26" s="89"/>
      <c r="O26" s="90"/>
    </row>
    <row r="27" spans="1:15">
      <c r="A27" s="29" t="s">
        <v>25</v>
      </c>
      <c r="B27" s="48">
        <f>SUM(C27:F27)</f>
        <v>10</v>
      </c>
      <c r="C27" s="35">
        <v>1.75</v>
      </c>
      <c r="D27" s="34">
        <v>2.25</v>
      </c>
      <c r="E27" s="34">
        <v>2.75</v>
      </c>
      <c r="F27" s="34">
        <v>3.25</v>
      </c>
      <c r="G27" s="49">
        <f>(46800+72250+37000+12700+16300)/100000</f>
        <v>1.8505</v>
      </c>
      <c r="H27" s="50">
        <f>(32000+28000+20100+26000+32400+24900+79700)/100000</f>
        <v>2.431</v>
      </c>
      <c r="I27" s="50">
        <f>(17400+15900+41200+56000+27900+82900)/100000</f>
        <v>2.413</v>
      </c>
      <c r="J27" s="50">
        <f>(111900+74900+80000+100600+15200+74155+40948)/100000</f>
        <v>4.97703</v>
      </c>
      <c r="K27" s="50">
        <f t="shared" ref="K27:K41" si="4">SUM(G27:J27)</f>
        <v>11.67153</v>
      </c>
      <c r="L27" s="50">
        <f>+((C27+D27+E27+F27)-(G27+H27+I27+J27))*-1</f>
        <v>1.67153</v>
      </c>
      <c r="M27" s="91">
        <f>+K27/B27</f>
        <v>1.167153</v>
      </c>
      <c r="N27" s="89"/>
      <c r="O27" s="90"/>
    </row>
    <row r="28" spans="1:15">
      <c r="A28" s="29" t="s">
        <v>26</v>
      </c>
      <c r="B28" s="48">
        <f t="shared" ref="B28:B41" si="5">SUM(C28:F28)</f>
        <v>10</v>
      </c>
      <c r="C28" s="35">
        <v>2</v>
      </c>
      <c r="D28" s="34">
        <v>2.5</v>
      </c>
      <c r="E28" s="34">
        <v>2.5</v>
      </c>
      <c r="F28" s="34">
        <v>3</v>
      </c>
      <c r="G28" s="129">
        <f>(19400+9000+3200+31800+44400)/100000</f>
        <v>1.078</v>
      </c>
      <c r="H28" s="130">
        <f>(85200+82500+20800+19600+30000+24900+79700)/100000</f>
        <v>3.427</v>
      </c>
      <c r="I28" s="50">
        <f>(18800+19400+45585+25500+47100+77720)/100000</f>
        <v>2.34105</v>
      </c>
      <c r="J28" s="134">
        <f>(71200+84900+8800+57200+11200+93800+13800)/100000</f>
        <v>3.409</v>
      </c>
      <c r="K28" s="50">
        <f>SUM(G28:J28)</f>
        <v>10.25505</v>
      </c>
      <c r="L28" s="50">
        <f t="shared" ref="L28:L42" si="6">+((C28+D28+E28+F28)-(G28+H28+I28+J28))*-1</f>
        <v>0.255050000000001</v>
      </c>
      <c r="M28" s="91">
        <f>+K28/B28</f>
        <v>1.025505</v>
      </c>
      <c r="N28" s="92"/>
      <c r="O28" s="93"/>
    </row>
    <row r="29" spans="1:15">
      <c r="A29" s="29" t="s">
        <v>27</v>
      </c>
      <c r="B29" s="48">
        <f>SUM(C29:F29)</f>
        <v>6.5</v>
      </c>
      <c r="C29" s="34">
        <v>1.2</v>
      </c>
      <c r="D29" s="34">
        <v>1.7</v>
      </c>
      <c r="E29" s="34">
        <v>1.2</v>
      </c>
      <c r="F29" s="34">
        <v>2.4</v>
      </c>
      <c r="G29" s="129">
        <f>(18900+8400+8700+27200)/100000</f>
        <v>0.632</v>
      </c>
      <c r="H29" s="50">
        <f>(50900+42500+16100+62600+11100+26300+27100)/100000</f>
        <v>2.366</v>
      </c>
      <c r="I29" s="50">
        <f>(8600+12400+22400+26600+6700+11100)/100000</f>
        <v>0.878</v>
      </c>
      <c r="J29" s="134">
        <f>(44700+60500+21900+14100+31100+39600+12800)/100000</f>
        <v>2.247</v>
      </c>
      <c r="K29" s="50">
        <f>SUM(G29:J29)</f>
        <v>6.123</v>
      </c>
      <c r="L29" s="50">
        <f>+((C29+D29+E29+F29)-(G29+H29+I29+J29))*-1</f>
        <v>-0.377</v>
      </c>
      <c r="M29" s="91">
        <f t="shared" ref="M29:M42" si="7">+K29/B29</f>
        <v>0.942</v>
      </c>
      <c r="N29" s="92"/>
      <c r="O29" s="93"/>
    </row>
    <row r="30" spans="1:15">
      <c r="A30" s="29" t="s">
        <v>28</v>
      </c>
      <c r="B30" s="48">
        <f>SUM(C30:F30)</f>
        <v>6.25</v>
      </c>
      <c r="C30" s="34">
        <v>1.25</v>
      </c>
      <c r="D30" s="34">
        <v>1.5</v>
      </c>
      <c r="E30" s="34">
        <v>1</v>
      </c>
      <c r="F30" s="34">
        <v>2.5</v>
      </c>
      <c r="G30" s="129">
        <f>(13700+14050+12150+8500+18800)/100000</f>
        <v>0.672</v>
      </c>
      <c r="H30" s="140">
        <f>(25200+36540+27050+48600+37100+9100+23400)/100000</f>
        <v>2.0699</v>
      </c>
      <c r="I30" s="50">
        <f>(20500+11500+15800+22100+37000)/100000</f>
        <v>1.069</v>
      </c>
      <c r="J30" s="134">
        <f>(21200+61750+13950+26750+19400+50450+59400)/100000</f>
        <v>2.529</v>
      </c>
      <c r="K30" s="50">
        <f>SUM(G30:J30)</f>
        <v>6.3399</v>
      </c>
      <c r="L30" s="50">
        <f>+((C30+D30+E30+F30)-(G30+H30+I30+J30))*-1</f>
        <v>0.0899000000000001</v>
      </c>
      <c r="M30" s="91">
        <f>+K30/B30</f>
        <v>1.014384</v>
      </c>
      <c r="N30" s="92"/>
      <c r="O30" s="93"/>
    </row>
    <row r="31" spans="1:15">
      <c r="A31" s="29" t="s">
        <v>29</v>
      </c>
      <c r="B31" s="48">
        <f>SUM(C31:F31)</f>
        <v>2.4</v>
      </c>
      <c r="C31" s="34">
        <v>0.25</v>
      </c>
      <c r="D31" s="34">
        <v>0.8</v>
      </c>
      <c r="E31" s="34">
        <v>0.6</v>
      </c>
      <c r="F31" s="34">
        <v>0.75</v>
      </c>
      <c r="G31" s="129">
        <f>(10000+19400+17200+5000)/100000</f>
        <v>0.516</v>
      </c>
      <c r="H31" s="50">
        <f>(14000+30+8800+9200)/100000</f>
        <v>0.3203</v>
      </c>
      <c r="I31" s="50">
        <f>(33000+29400)/100000</f>
        <v>0.624</v>
      </c>
      <c r="J31" s="134">
        <f>(33800+8800+25900+29200+20000)/100000</f>
        <v>1.177</v>
      </c>
      <c r="K31" s="50">
        <f>SUM(G31:J31)</f>
        <v>2.6373</v>
      </c>
      <c r="L31" s="50">
        <f>+((C31+D31+E31+F31)-(G31+H31+I31+J31))*-1</f>
        <v>0.2373</v>
      </c>
      <c r="M31" s="91">
        <f>+K31/B31</f>
        <v>1.098875</v>
      </c>
      <c r="N31" s="92"/>
      <c r="O31" s="93"/>
    </row>
    <row r="32" spans="1:15">
      <c r="A32" s="29" t="s">
        <v>87</v>
      </c>
      <c r="B32" s="48"/>
      <c r="C32" s="34"/>
      <c r="D32" s="34"/>
      <c r="E32" s="34"/>
      <c r="F32" s="34"/>
      <c r="G32" s="129">
        <f>(2500)/100000</f>
        <v>0.025</v>
      </c>
      <c r="H32" s="50">
        <f>(15000)/100000</f>
        <v>0.15</v>
      </c>
      <c r="I32" s="50">
        <f>(7500)/100000</f>
        <v>0.075</v>
      </c>
      <c r="J32" s="134">
        <f>(2700+5350)/100000</f>
        <v>0.0805</v>
      </c>
      <c r="K32" s="50">
        <f>SUM(G32:J32)</f>
        <v>0.3305</v>
      </c>
      <c r="L32" s="50">
        <f>+((C32+D32+E32+F32)-(G32+H32+I32+J32))*-1</f>
        <v>0.3305</v>
      </c>
      <c r="M32" s="91"/>
      <c r="N32" s="92"/>
      <c r="O32" s="93"/>
    </row>
    <row r="33" spans="1:15">
      <c r="A33" s="51" t="s">
        <v>30</v>
      </c>
      <c r="B33" s="48">
        <f>SUM(C33:F33)</f>
        <v>7</v>
      </c>
      <c r="C33" s="35">
        <v>1.7</v>
      </c>
      <c r="D33" s="52">
        <v>1.4</v>
      </c>
      <c r="E33" s="52">
        <v>1.4</v>
      </c>
      <c r="F33" s="52">
        <v>2.5</v>
      </c>
      <c r="G33" s="129">
        <f>(23000+42900+3000)/100000</f>
        <v>0.689</v>
      </c>
      <c r="H33" s="50">
        <f>(26400+18200+11000+16800)/100000</f>
        <v>0.724</v>
      </c>
      <c r="I33" s="50">
        <f>(47000+8000)/100000</f>
        <v>0.55</v>
      </c>
      <c r="J33" s="134">
        <f>(97200+77200+4400+8940+22000+17000)/100000</f>
        <v>2.2674</v>
      </c>
      <c r="K33" s="50">
        <f>SUM(G33:J33)</f>
        <v>4.2304</v>
      </c>
      <c r="L33" s="50">
        <f>+((C33+D33+E33+F33)-(G33+H33+I33+J33))*-1</f>
        <v>-2.7696</v>
      </c>
      <c r="M33" s="91">
        <f>+K33/B33</f>
        <v>0.604342857142857</v>
      </c>
      <c r="N33" s="94"/>
      <c r="O33" s="95"/>
    </row>
    <row r="34" spans="1:15">
      <c r="A34" s="51" t="s">
        <v>31</v>
      </c>
      <c r="B34" s="48">
        <f>SUM(C34:F34)</f>
        <v>6.2</v>
      </c>
      <c r="C34" s="35">
        <v>1.3</v>
      </c>
      <c r="D34" s="52">
        <v>1.6</v>
      </c>
      <c r="E34" s="52">
        <v>1.4</v>
      </c>
      <c r="F34" s="52">
        <v>1.9</v>
      </c>
      <c r="G34" s="129">
        <f>(9500+24500+24600+23500+22750)/100000</f>
        <v>1.0485</v>
      </c>
      <c r="H34" s="50">
        <f>(35900+37500+24400+33100+22200+21800+26690)/100000</f>
        <v>2.0159</v>
      </c>
      <c r="I34" s="50">
        <f>(25700+17800+19900+21700+19300+25600)/100000</f>
        <v>1.3</v>
      </c>
      <c r="J34" s="134">
        <f>(24800+45600+14800+30500+20800+20900+29500)/100000</f>
        <v>1.869</v>
      </c>
      <c r="K34" s="50">
        <f>SUM(G34:J34)</f>
        <v>6.2334</v>
      </c>
      <c r="L34" s="50">
        <f>+((C34+D34+E34+F34)-(G34+H34+I34+J34))*-1</f>
        <v>0.0333999999999985</v>
      </c>
      <c r="M34" s="91">
        <f>+K34/B34</f>
        <v>1.00538709677419</v>
      </c>
      <c r="N34" s="92"/>
      <c r="O34" s="93"/>
    </row>
    <row r="35" spans="1:15">
      <c r="A35" s="51" t="s">
        <v>32</v>
      </c>
      <c r="B35" s="48">
        <f>SUM(C35:F35)</f>
        <v>6.7</v>
      </c>
      <c r="C35" s="35">
        <v>1.4</v>
      </c>
      <c r="D35" s="52">
        <v>1.7</v>
      </c>
      <c r="E35" s="52">
        <v>1.3</v>
      </c>
      <c r="F35" s="52">
        <v>2.3</v>
      </c>
      <c r="G35" s="129">
        <f>(38340+49550+40500+12600+19900)/100000</f>
        <v>1.6089</v>
      </c>
      <c r="H35" s="50">
        <f>(17020+66100+15600+25100+25400+25075+18800)/100000</f>
        <v>1.93095</v>
      </c>
      <c r="I35" s="50">
        <f>(24025+18850+19050+29750+25400+19050)/100000</f>
        <v>1.36125</v>
      </c>
      <c r="J35" s="134">
        <f>(9300+28420+28600+14500+14300+54300+36529)/100000</f>
        <v>1.85949</v>
      </c>
      <c r="K35" s="50">
        <f>SUM(G35:J35)</f>
        <v>6.76059</v>
      </c>
      <c r="L35" s="50">
        <f>+((C35+D35+E35+F35)-(G35+H35+I35+J35))*-1</f>
        <v>0.0605900000000004</v>
      </c>
      <c r="M35" s="91">
        <f>+K35/B35</f>
        <v>1.00904328358209</v>
      </c>
      <c r="N35" s="92"/>
      <c r="O35" s="93"/>
    </row>
    <row r="36" spans="1:15">
      <c r="A36" s="51" t="s">
        <v>34</v>
      </c>
      <c r="B36" s="48">
        <f>SUM(C36:F36)</f>
        <v>4.7</v>
      </c>
      <c r="C36" s="35">
        <v>1</v>
      </c>
      <c r="D36" s="52">
        <v>1.2</v>
      </c>
      <c r="E36" s="52">
        <v>1</v>
      </c>
      <c r="F36" s="52">
        <v>1.5</v>
      </c>
      <c r="G36" s="129">
        <f>(18100+15000+13800+10500+18000)/100000</f>
        <v>0.754</v>
      </c>
      <c r="H36" s="50">
        <f>(19500+18600+13900+8200+19200+13500+43000)/100000</f>
        <v>1.359</v>
      </c>
      <c r="I36" s="50">
        <f>(14940+12800+9800+4300+6500+41600)/100000</f>
        <v>0.8994</v>
      </c>
      <c r="J36" s="134">
        <f>(13650+37800+11400+18000+24100+21100+17100)/100000</f>
        <v>1.4315</v>
      </c>
      <c r="K36" s="50">
        <f>SUM(G36:J36)</f>
        <v>4.4439</v>
      </c>
      <c r="L36" s="50">
        <f>+((C36+D36+E36+F36)-(G36+H36+I36+J36))*-1</f>
        <v>-0.2561</v>
      </c>
      <c r="M36" s="91">
        <f>+K36/B36</f>
        <v>0.945510638297872</v>
      </c>
      <c r="N36" s="92"/>
      <c r="O36" s="93"/>
    </row>
    <row r="37" spans="1:15">
      <c r="A37" s="51" t="s">
        <v>51</v>
      </c>
      <c r="B37" s="48">
        <f>SUM(C37:F37)</f>
        <v>6.75</v>
      </c>
      <c r="C37" s="35">
        <v>1.4</v>
      </c>
      <c r="D37" s="52">
        <v>1.5</v>
      </c>
      <c r="E37" s="52">
        <v>1.65</v>
      </c>
      <c r="F37" s="52">
        <v>2.2</v>
      </c>
      <c r="G37" s="129">
        <f>(34700+26800+36650+10200+36900)/100000</f>
        <v>1.4525</v>
      </c>
      <c r="H37" s="50">
        <f>(35850+19220+31850+12300+9500+17500+18300)/100000</f>
        <v>1.4452</v>
      </c>
      <c r="I37" s="50">
        <f>(18900+37100+10700+41300+16000+37550)/100000</f>
        <v>1.6155</v>
      </c>
      <c r="J37" s="134">
        <f>(40250+56320+13250+13900+19800+74772+35600)/100000</f>
        <v>2.53892</v>
      </c>
      <c r="K37" s="50">
        <f>SUM(G37:J37)</f>
        <v>7.05212</v>
      </c>
      <c r="L37" s="50">
        <f>+((C37+D37+E37+F37)-(G37+H37+I37+J37))*-1</f>
        <v>0.302119999999999</v>
      </c>
      <c r="M37" s="91">
        <f>+K37/B37</f>
        <v>1.04475851851852</v>
      </c>
      <c r="N37" s="92"/>
      <c r="O37" s="93"/>
    </row>
    <row r="38" spans="1:15">
      <c r="A38" s="51" t="s">
        <v>88</v>
      </c>
      <c r="B38" s="48">
        <v>2</v>
      </c>
      <c r="C38" s="35">
        <v>0.5</v>
      </c>
      <c r="D38" s="52">
        <v>0.5</v>
      </c>
      <c r="E38" s="52">
        <v>0.5</v>
      </c>
      <c r="F38" s="52">
        <v>0.5</v>
      </c>
      <c r="G38" s="129">
        <f>(4900+7700+6500+5500+8700)/100000</f>
        <v>0.333</v>
      </c>
      <c r="H38" s="50">
        <f>(15997+9200+9700+10200+6800+8700+10600)/100000</f>
        <v>0.71197</v>
      </c>
      <c r="I38" s="50">
        <f>(9300+8500+8400+8300+17200+8800)/100000</f>
        <v>0.605</v>
      </c>
      <c r="J38" s="134">
        <f>(5400+16000+9700+9700+11100+9600+10050)/100000</f>
        <v>0.7155</v>
      </c>
      <c r="K38" s="50">
        <f>SUM(G38:J38)</f>
        <v>2.36547</v>
      </c>
      <c r="L38" s="50">
        <f>+((C38+D38+E38+F38)-(G38+H38+I38+J38))*-1</f>
        <v>0.36547</v>
      </c>
      <c r="M38" s="91"/>
      <c r="N38" s="92"/>
      <c r="O38" s="93"/>
    </row>
    <row r="39" spans="1:15">
      <c r="A39" s="53" t="s">
        <v>37</v>
      </c>
      <c r="B39" s="48">
        <f>SUM(C39:F39)</f>
        <v>1.25</v>
      </c>
      <c r="C39" s="35">
        <v>0.25</v>
      </c>
      <c r="D39" s="52">
        <v>0.5</v>
      </c>
      <c r="E39" s="52">
        <v>0.25</v>
      </c>
      <c r="F39" s="52">
        <v>0.25</v>
      </c>
      <c r="G39" s="129">
        <f>(8800+4400+30900+13200)/100000</f>
        <v>0.573</v>
      </c>
      <c r="H39" s="50">
        <f>(6600)/100000</f>
        <v>0.066</v>
      </c>
      <c r="I39" s="50">
        <f>(17600)/100000</f>
        <v>0.176</v>
      </c>
      <c r="J39" s="134">
        <f>(4400+2200)/100000</f>
        <v>0.066</v>
      </c>
      <c r="K39" s="50">
        <f>SUM(G39:J39)</f>
        <v>0.881</v>
      </c>
      <c r="L39" s="50">
        <f>+((C39+D39+E39+F39)-(G39+H39+I39+J39))*-1</f>
        <v>-0.369</v>
      </c>
      <c r="M39" s="91">
        <f>+K39/B39</f>
        <v>0.7048</v>
      </c>
      <c r="N39" s="92"/>
      <c r="O39" s="93"/>
    </row>
    <row r="40" spans="1:15">
      <c r="A40" s="53" t="s">
        <v>35</v>
      </c>
      <c r="B40" s="48">
        <f>SUM(C40:F40)</f>
        <v>2.75</v>
      </c>
      <c r="C40" s="35">
        <v>0.75</v>
      </c>
      <c r="D40" s="52">
        <v>0.5</v>
      </c>
      <c r="E40" s="52">
        <v>0.5</v>
      </c>
      <c r="F40" s="52">
        <v>1</v>
      </c>
      <c r="G40" s="129">
        <f>(15700)/100000</f>
        <v>0.157</v>
      </c>
      <c r="H40" s="50">
        <f>(48400+350)/100000</f>
        <v>0.4875</v>
      </c>
      <c r="I40" s="50"/>
      <c r="J40" s="134">
        <f>(122342+161827)/100000</f>
        <v>2.84169</v>
      </c>
      <c r="K40" s="50">
        <f>SUM(G40:J40)</f>
        <v>3.48619</v>
      </c>
      <c r="L40" s="50">
        <f>+((C40+D40+E40+F40)-(G40+H40+I40+J40))*-1</f>
        <v>0.73619</v>
      </c>
      <c r="M40" s="91">
        <f>+K40/B40</f>
        <v>1.26770545454545</v>
      </c>
      <c r="N40" s="92"/>
      <c r="O40" s="93"/>
    </row>
    <row r="41" spans="1:15">
      <c r="A41" s="53" t="s">
        <v>38</v>
      </c>
      <c r="B41" s="48">
        <f>SUM(C41:F41)</f>
        <v>11.5</v>
      </c>
      <c r="C41" s="35">
        <v>2.25</v>
      </c>
      <c r="D41" s="52">
        <v>2.25</v>
      </c>
      <c r="E41" s="52">
        <v>3</v>
      </c>
      <c r="F41" s="52">
        <v>4</v>
      </c>
      <c r="G41" s="129">
        <f>(20410+48800+19100+25100+33000)/100000</f>
        <v>1.4641</v>
      </c>
      <c r="H41" s="50">
        <f>(55940+166325+39700+51485+62000+18660+24200)/100000</f>
        <v>4.1831</v>
      </c>
      <c r="I41" s="50">
        <f>(106900+13440+34640+33620+54300+60800)/100000</f>
        <v>3.037</v>
      </c>
      <c r="J41" s="134">
        <f>(24400+53420+19870+219595+29538+102000+40970)/100000</f>
        <v>4.89793</v>
      </c>
      <c r="K41" s="50">
        <f>SUM(G41:J41)</f>
        <v>13.58213</v>
      </c>
      <c r="L41" s="50">
        <f>+((C41+D41+E41+F41)-(G41+H41+I41+J41))*-1</f>
        <v>2.08213</v>
      </c>
      <c r="M41" s="91">
        <f>+K41/B41</f>
        <v>1.1810547826087</v>
      </c>
      <c r="N41" s="92"/>
      <c r="O41" s="93"/>
    </row>
    <row r="42" spans="1:15">
      <c r="A42" s="54" t="s">
        <v>44</v>
      </c>
      <c r="B42" s="48">
        <f t="shared" ref="B42:K42" si="8">SUM(B27:B41)</f>
        <v>84</v>
      </c>
      <c r="C42" s="35">
        <f>SUM(C27:C41)</f>
        <v>17</v>
      </c>
      <c r="D42" s="48">
        <f>SUM(D27:D41)</f>
        <v>19.9</v>
      </c>
      <c r="E42" s="48">
        <f>SUM(E27:E41)</f>
        <v>19.05</v>
      </c>
      <c r="F42" s="48">
        <f>SUM(F27:F41)</f>
        <v>28.05</v>
      </c>
      <c r="G42" s="131">
        <f>SUM(G27:G41)</f>
        <v>12.8535</v>
      </c>
      <c r="H42" s="50">
        <f>SUM(H27:H41)</f>
        <v>23.68782</v>
      </c>
      <c r="I42" s="50">
        <f>SUM(I27:I41)</f>
        <v>16.9442</v>
      </c>
      <c r="J42" s="134">
        <f>SUM(J27:J41)</f>
        <v>32.90696</v>
      </c>
      <c r="K42" s="135">
        <f>SUM(K27:K41)</f>
        <v>86.39248</v>
      </c>
      <c r="L42" s="50">
        <f>+((C42+D42+E42+F42)-(G42+H42+I42+J42))*-1</f>
        <v>2.39248000000001</v>
      </c>
      <c r="M42" s="154">
        <f>+K42/B42</f>
        <v>1.02848190476191</v>
      </c>
      <c r="N42" s="92"/>
      <c r="O42" s="93"/>
    </row>
    <row r="43" spans="1:15">
      <c r="A43" s="55"/>
      <c r="B43" s="56"/>
      <c r="C43" s="57"/>
      <c r="D43" s="57"/>
      <c r="N43" s="94"/>
      <c r="O43" s="95"/>
    </row>
    <row r="44" spans="14:15">
      <c r="N44" s="92"/>
      <c r="O44" s="93"/>
    </row>
    <row r="45" spans="14:15">
      <c r="N45" s="92"/>
      <c r="O45" s="93"/>
    </row>
    <row r="46" spans="14:15">
      <c r="N46" s="92"/>
      <c r="O46" s="93"/>
    </row>
    <row r="47" spans="14:15">
      <c r="N47" s="92"/>
      <c r="O47" s="93"/>
    </row>
    <row r="48" spans="14:15">
      <c r="N48" s="92"/>
      <c r="O48" s="93"/>
    </row>
    <row r="49" spans="14:15">
      <c r="N49" s="92"/>
      <c r="O49" s="93"/>
    </row>
    <row r="50" spans="14:15">
      <c r="N50" s="92"/>
      <c r="O50" s="93"/>
    </row>
    <row r="51" spans="14:15">
      <c r="N51" s="92"/>
      <c r="O51" s="93"/>
    </row>
    <row r="52" spans="14:15">
      <c r="N52" s="92"/>
      <c r="O52" s="93"/>
    </row>
    <row r="53" spans="14:15">
      <c r="N53" s="94"/>
      <c r="O53" s="95"/>
    </row>
    <row r="54" spans="14:15">
      <c r="N54" s="92"/>
      <c r="O54" s="93"/>
    </row>
    <row r="55" spans="14:15">
      <c r="N55" s="92"/>
      <c r="O55" s="93"/>
    </row>
    <row r="56" spans="14:15">
      <c r="N56" s="92"/>
      <c r="O56" s="93"/>
    </row>
    <row r="57" spans="14:15">
      <c r="N57" s="92"/>
      <c r="O57" s="93"/>
    </row>
    <row r="58" spans="14:15">
      <c r="N58" s="92"/>
      <c r="O58" s="93"/>
    </row>
    <row r="59" spans="14:15">
      <c r="N59" s="92"/>
      <c r="O59" s="93"/>
    </row>
    <row r="60" spans="14:15">
      <c r="N60" s="92"/>
      <c r="O60" s="93"/>
    </row>
    <row r="61" spans="14:15">
      <c r="N61" s="94"/>
      <c r="O61" s="95"/>
    </row>
    <row r="62" spans="14:15">
      <c r="N62" s="92"/>
      <c r="O62" s="93"/>
    </row>
    <row r="63" spans="14:15">
      <c r="N63" s="92"/>
      <c r="O63" s="93"/>
    </row>
    <row r="64" spans="14:15">
      <c r="N64" s="92"/>
      <c r="O64" s="93"/>
    </row>
    <row r="65" spans="14:15">
      <c r="N65" s="92"/>
      <c r="O65" s="93"/>
    </row>
    <row r="66" spans="14:15">
      <c r="N66" s="92"/>
      <c r="O66" s="93"/>
    </row>
    <row r="67" spans="14:15">
      <c r="N67" s="92"/>
      <c r="O67" s="93"/>
    </row>
    <row r="68" spans="14:15">
      <c r="N68" s="92"/>
      <c r="O68" s="93"/>
    </row>
    <row r="69" spans="14:15">
      <c r="N69" s="92"/>
      <c r="O69" s="96"/>
    </row>
  </sheetData>
  <mergeCells count="6">
    <mergeCell ref="B1:M1"/>
    <mergeCell ref="D5:F5"/>
    <mergeCell ref="C6:F6"/>
    <mergeCell ref="G6:J6"/>
    <mergeCell ref="C25:F25"/>
    <mergeCell ref="G25:J25"/>
  </mergeCells>
  <pageMargins left="0.699305555555556" right="0.699305555555556" top="0.75" bottom="0.75" header="0.3" footer="0.3"/>
  <pageSetup paperSize="1" scale="75" orientation="landscape" verticalDpi="180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9"/>
  <sheetViews>
    <sheetView workbookViewId="0">
      <selection activeCell="B1" sqref="B1:M1"/>
    </sheetView>
  </sheetViews>
  <sheetFormatPr defaultColWidth="9" defaultRowHeight="15"/>
  <cols>
    <col min="1" max="1" width="18.8571428571429" style="1" customWidth="1"/>
    <col min="2" max="2" width="10.1428571428571" style="2" customWidth="1"/>
    <col min="3" max="3" width="9.42857142857143" style="1" customWidth="1"/>
    <col min="4" max="5" width="9.71428571428571" style="1" customWidth="1"/>
    <col min="6" max="6" width="10.2857142857143" style="1" customWidth="1"/>
    <col min="7" max="7" width="10.1428571428571" style="1" customWidth="1"/>
    <col min="8" max="8" width="10.2857142857143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spans="1:13">
      <c r="A1" s="125" t="s">
        <v>89</v>
      </c>
      <c r="B1" s="119" t="s">
        <v>90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spans="1:13">
      <c r="A2" s="6" t="s">
        <v>2</v>
      </c>
      <c r="B2" s="7">
        <f>+K24</f>
        <v>190.5</v>
      </c>
      <c r="C2" s="8"/>
      <c r="D2" s="8"/>
      <c r="E2" s="8"/>
      <c r="F2" s="8"/>
      <c r="G2" s="8"/>
      <c r="H2" s="8"/>
      <c r="I2" s="8"/>
      <c r="J2" s="8"/>
      <c r="K2" s="8"/>
      <c r="L2" s="8"/>
      <c r="M2" s="104"/>
    </row>
    <row r="3" spans="1:13">
      <c r="A3" s="6" t="s">
        <v>3</v>
      </c>
      <c r="B3" s="7">
        <f>+M24</f>
        <v>334</v>
      </c>
      <c r="C3" s="8"/>
      <c r="D3" s="8"/>
      <c r="E3" s="8"/>
      <c r="F3" s="8"/>
      <c r="G3" s="8"/>
      <c r="H3" s="8"/>
      <c r="I3" s="8"/>
      <c r="J3" s="8"/>
      <c r="K3" s="8"/>
      <c r="L3" s="8"/>
      <c r="M3" s="104"/>
    </row>
    <row r="4" spans="1:13">
      <c r="A4" s="6" t="s">
        <v>91</v>
      </c>
      <c r="B4" s="11"/>
      <c r="C4" s="12"/>
      <c r="D4" s="13" t="s">
        <v>5</v>
      </c>
      <c r="E4" s="12">
        <v>7.5</v>
      </c>
      <c r="F4" s="12"/>
      <c r="G4" s="14" t="s">
        <v>78</v>
      </c>
      <c r="H4" s="155"/>
      <c r="I4" s="12" t="s">
        <v>7</v>
      </c>
      <c r="J4" s="13">
        <f>+K42</f>
        <v>83.74415</v>
      </c>
      <c r="K4" s="12" t="s">
        <v>8</v>
      </c>
      <c r="L4" s="12" t="s">
        <v>70</v>
      </c>
      <c r="M4" s="106"/>
    </row>
    <row r="5" spans="1:13">
      <c r="A5" s="16" t="s">
        <v>10</v>
      </c>
      <c r="B5" s="17" t="s">
        <v>92</v>
      </c>
      <c r="C5" s="18" t="s">
        <v>12</v>
      </c>
      <c r="D5" s="19">
        <v>7253250</v>
      </c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5.5" spans="1:13">
      <c r="A7" s="25" t="s">
        <v>16</v>
      </c>
      <c r="B7" s="25" t="s">
        <v>17</v>
      </c>
      <c r="C7" s="25" t="s">
        <v>18</v>
      </c>
      <c r="D7" s="25" t="s">
        <v>19</v>
      </c>
      <c r="E7" s="25" t="s">
        <v>20</v>
      </c>
      <c r="F7" s="25" t="s">
        <v>56</v>
      </c>
      <c r="G7" s="25" t="s">
        <v>18</v>
      </c>
      <c r="H7" s="25" t="s">
        <v>73</v>
      </c>
      <c r="I7" s="25" t="s">
        <v>74</v>
      </c>
      <c r="J7" s="25" t="s">
        <v>75</v>
      </c>
      <c r="K7" s="25" t="s">
        <v>22</v>
      </c>
      <c r="L7" s="25" t="s">
        <v>23</v>
      </c>
      <c r="M7" s="25" t="s">
        <v>24</v>
      </c>
    </row>
    <row r="8" spans="1:13">
      <c r="A8" s="29" t="s">
        <v>25</v>
      </c>
      <c r="B8" s="34">
        <f>SUM(C8:F8)</f>
        <v>15</v>
      </c>
      <c r="C8" s="34">
        <v>5</v>
      </c>
      <c r="D8" s="34">
        <v>3</v>
      </c>
      <c r="E8" s="34">
        <v>5</v>
      </c>
      <c r="F8" s="34">
        <v>2</v>
      </c>
      <c r="G8" s="48">
        <v>10</v>
      </c>
      <c r="H8" s="48">
        <v>9</v>
      </c>
      <c r="I8" s="48"/>
      <c r="J8" s="48"/>
      <c r="K8" s="48">
        <f t="shared" ref="K8:K24" si="0">SUM(G8:J8)</f>
        <v>19</v>
      </c>
      <c r="L8" s="48">
        <f>+((C8+D8+E8+F8)-(G8+H8+I8+J8))*-1</f>
        <v>4</v>
      </c>
      <c r="M8" s="48">
        <v>7</v>
      </c>
    </row>
    <row r="9" spans="1:13">
      <c r="A9" s="29" t="s">
        <v>26</v>
      </c>
      <c r="B9" s="34">
        <f t="shared" ref="B9:B23" si="1">SUM(C9:F9)</f>
        <v>15</v>
      </c>
      <c r="C9" s="34">
        <v>5</v>
      </c>
      <c r="D9" s="34">
        <v>5</v>
      </c>
      <c r="E9" s="34">
        <v>3</v>
      </c>
      <c r="F9" s="34">
        <v>2</v>
      </c>
      <c r="G9" s="48">
        <v>8</v>
      </c>
      <c r="H9" s="48">
        <v>6</v>
      </c>
      <c r="I9" s="48">
        <v>1</v>
      </c>
      <c r="J9" s="48"/>
      <c r="K9" s="48">
        <f>SUM(G9:J9)</f>
        <v>15</v>
      </c>
      <c r="L9" s="48">
        <f t="shared" ref="L9:L24" si="2">+((C9+D9+E9+F9)-(G9+H9+I9+J9))*-1</f>
        <v>0</v>
      </c>
      <c r="M9" s="48">
        <v>13</v>
      </c>
    </row>
    <row r="10" spans="1:13">
      <c r="A10" s="29" t="s">
        <v>27</v>
      </c>
      <c r="B10" s="34">
        <f>SUM(C10:F10)</f>
        <v>12</v>
      </c>
      <c r="C10" s="34">
        <v>2</v>
      </c>
      <c r="D10" s="34">
        <v>3</v>
      </c>
      <c r="E10" s="34">
        <v>4</v>
      </c>
      <c r="F10" s="34">
        <v>3</v>
      </c>
      <c r="G10" s="48">
        <v>1</v>
      </c>
      <c r="H10" s="48">
        <v>1</v>
      </c>
      <c r="I10" s="48">
        <v>4</v>
      </c>
      <c r="J10" s="48">
        <v>6</v>
      </c>
      <c r="K10" s="48">
        <f>SUM(G10:J10)</f>
        <v>12</v>
      </c>
      <c r="L10" s="48">
        <f>+((C10+D10+E10+F10)-(G10+H10+I10+J10))*-1</f>
        <v>0</v>
      </c>
      <c r="M10" s="48">
        <v>46</v>
      </c>
    </row>
    <row r="11" spans="1:13">
      <c r="A11" s="29" t="s">
        <v>28</v>
      </c>
      <c r="B11" s="34">
        <f>SUM(C11:F11)</f>
        <v>12</v>
      </c>
      <c r="C11" s="34">
        <v>3</v>
      </c>
      <c r="D11" s="34">
        <v>2</v>
      </c>
      <c r="E11" s="34">
        <v>4</v>
      </c>
      <c r="F11" s="34">
        <v>3</v>
      </c>
      <c r="G11" s="48">
        <v>7</v>
      </c>
      <c r="H11" s="48">
        <v>0.5</v>
      </c>
      <c r="I11" s="48">
        <v>3</v>
      </c>
      <c r="J11" s="48">
        <v>2</v>
      </c>
      <c r="K11" s="48">
        <f>SUM(G11:J11)</f>
        <v>12.5</v>
      </c>
      <c r="L11" s="48">
        <f>+((C11+D11+E11+F11)-(G11+H11+I11+J11))*-1</f>
        <v>0.5</v>
      </c>
      <c r="M11" s="48">
        <v>72</v>
      </c>
    </row>
    <row r="12" spans="1:13">
      <c r="A12" s="29" t="s">
        <v>29</v>
      </c>
      <c r="B12" s="34">
        <f>SUM(C12:F12)</f>
        <v>10</v>
      </c>
      <c r="C12" s="34">
        <v>2</v>
      </c>
      <c r="D12" s="34">
        <v>2</v>
      </c>
      <c r="E12" s="34">
        <v>3</v>
      </c>
      <c r="F12" s="34">
        <v>3</v>
      </c>
      <c r="G12" s="48">
        <v>1</v>
      </c>
      <c r="H12" s="48"/>
      <c r="I12" s="48">
        <v>0</v>
      </c>
      <c r="J12" s="48"/>
      <c r="K12" s="48">
        <f>SUM(G12:J12)</f>
        <v>1</v>
      </c>
      <c r="L12" s="48">
        <f>+((C12+D12+E12+F12)-(G12+H12+I12+J12))*-1</f>
        <v>-9</v>
      </c>
      <c r="M12" s="48"/>
    </row>
    <row r="13" spans="1:13">
      <c r="A13" s="29" t="s">
        <v>87</v>
      </c>
      <c r="B13" s="34">
        <f>SUM(C13:F13)</f>
        <v>10</v>
      </c>
      <c r="C13" s="34">
        <v>2</v>
      </c>
      <c r="D13" s="34">
        <v>2</v>
      </c>
      <c r="E13" s="34">
        <v>3</v>
      </c>
      <c r="F13" s="34">
        <v>3</v>
      </c>
      <c r="G13" s="48">
        <v>3.5</v>
      </c>
      <c r="H13" s="48">
        <v>1.5</v>
      </c>
      <c r="I13" s="48">
        <v>3</v>
      </c>
      <c r="J13" s="48">
        <v>5</v>
      </c>
      <c r="K13" s="48">
        <f>SUM(G13:J13)</f>
        <v>13</v>
      </c>
      <c r="L13" s="48">
        <f>+((C13+D13+E13+F13)-(G13+H13+I13+J13))*-1</f>
        <v>3</v>
      </c>
      <c r="M13" s="48"/>
    </row>
    <row r="14" spans="1:13">
      <c r="A14" s="51" t="s">
        <v>30</v>
      </c>
      <c r="B14" s="34">
        <f>SUM(C14:F14)</f>
        <v>16</v>
      </c>
      <c r="C14" s="34">
        <v>4</v>
      </c>
      <c r="D14" s="34">
        <v>4</v>
      </c>
      <c r="E14" s="34">
        <v>4</v>
      </c>
      <c r="F14" s="34">
        <v>4</v>
      </c>
      <c r="G14" s="48">
        <v>2.5</v>
      </c>
      <c r="H14" s="48">
        <v>1</v>
      </c>
      <c r="I14" s="48">
        <v>10</v>
      </c>
      <c r="J14" s="48"/>
      <c r="K14" s="48">
        <f>SUM(G14:J14)</f>
        <v>13.5</v>
      </c>
      <c r="L14" s="48">
        <f>+((C14+D14+E14+F14)-(G14+H14+I14+J14))*-1</f>
        <v>-2.5</v>
      </c>
      <c r="M14" s="48">
        <v>6</v>
      </c>
    </row>
    <row r="15" spans="1:13">
      <c r="A15" s="51" t="s">
        <v>31</v>
      </c>
      <c r="B15" s="34">
        <f>SUM(C15:F15)</f>
        <v>10</v>
      </c>
      <c r="C15" s="34">
        <v>2</v>
      </c>
      <c r="D15" s="34">
        <v>2</v>
      </c>
      <c r="E15" s="34">
        <v>2</v>
      </c>
      <c r="F15" s="34">
        <v>4</v>
      </c>
      <c r="G15" s="48">
        <v>1</v>
      </c>
      <c r="H15" s="48">
        <v>2.5</v>
      </c>
      <c r="I15" s="48">
        <v>3.5</v>
      </c>
      <c r="J15" s="48">
        <v>11</v>
      </c>
      <c r="K15" s="48">
        <f>SUM(G15:J15)</f>
        <v>18</v>
      </c>
      <c r="L15" s="48">
        <f>+((C15+D15+E15+F15)-(G15+H15+I15+J15))*-1</f>
        <v>8</v>
      </c>
      <c r="M15" s="48">
        <v>29</v>
      </c>
    </row>
    <row r="16" spans="1:13">
      <c r="A16" s="51" t="s">
        <v>36</v>
      </c>
      <c r="B16" s="34">
        <f>SUM(C16:F16)</f>
        <v>10</v>
      </c>
      <c r="C16" s="34">
        <v>1</v>
      </c>
      <c r="D16" s="34">
        <v>2</v>
      </c>
      <c r="E16" s="34">
        <v>2</v>
      </c>
      <c r="F16" s="137">
        <v>5</v>
      </c>
      <c r="G16" s="48"/>
      <c r="H16" s="48"/>
      <c r="I16" s="138">
        <v>1</v>
      </c>
      <c r="J16" s="48">
        <v>9.5</v>
      </c>
      <c r="K16" s="48">
        <f>SUM(G16:J16)</f>
        <v>10.5</v>
      </c>
      <c r="L16" s="48">
        <f>+((C16+D16+E16+F16)-(G16+H16+I16+J16))*-1</f>
        <v>0.5</v>
      </c>
      <c r="M16" s="48">
        <v>33</v>
      </c>
    </row>
    <row r="17" spans="1:13">
      <c r="A17" s="51" t="s">
        <v>32</v>
      </c>
      <c r="B17" s="34">
        <f>SUM(C17:F17)</f>
        <v>10</v>
      </c>
      <c r="C17" s="34">
        <v>1</v>
      </c>
      <c r="D17" s="34">
        <v>2</v>
      </c>
      <c r="E17" s="34">
        <v>3</v>
      </c>
      <c r="F17" s="34">
        <v>4</v>
      </c>
      <c r="G17" s="48"/>
      <c r="H17" s="48">
        <v>1</v>
      </c>
      <c r="I17" s="48">
        <v>1</v>
      </c>
      <c r="J17" s="48">
        <v>8.5</v>
      </c>
      <c r="K17" s="48">
        <f>SUM(G17:J17)</f>
        <v>10.5</v>
      </c>
      <c r="L17" s="48">
        <f>+((C17+D17+E17+F17)-(G17+H17+I17+J17))*-1</f>
        <v>0.5</v>
      </c>
      <c r="M17" s="48">
        <v>46</v>
      </c>
    </row>
    <row r="18" spans="1:13">
      <c r="A18" s="51" t="s">
        <v>34</v>
      </c>
      <c r="B18" s="34">
        <f>SUM(C18:F18)</f>
        <v>10</v>
      </c>
      <c r="C18" s="34">
        <v>1</v>
      </c>
      <c r="D18" s="34">
        <v>2</v>
      </c>
      <c r="E18" s="34">
        <v>3</v>
      </c>
      <c r="F18" s="34">
        <v>4</v>
      </c>
      <c r="G18" s="48"/>
      <c r="H18" s="48"/>
      <c r="I18" s="48">
        <v>1</v>
      </c>
      <c r="J18" s="48">
        <v>10</v>
      </c>
      <c r="K18" s="48">
        <f>SUM(G18:J18)</f>
        <v>11</v>
      </c>
      <c r="L18" s="48">
        <f>+((C18+D18+E18+F18)-(G18+H18+I18+J18))*-1</f>
        <v>1</v>
      </c>
      <c r="M18" s="48">
        <v>27</v>
      </c>
    </row>
    <row r="19" spans="1:13">
      <c r="A19" s="51" t="s">
        <v>88</v>
      </c>
      <c r="B19" s="34">
        <f>SUM(C19:F19)</f>
        <v>10</v>
      </c>
      <c r="C19" s="34">
        <v>2</v>
      </c>
      <c r="D19" s="34">
        <v>2</v>
      </c>
      <c r="E19" s="34">
        <v>2</v>
      </c>
      <c r="F19" s="34">
        <v>4</v>
      </c>
      <c r="G19" s="48"/>
      <c r="H19" s="48">
        <v>1</v>
      </c>
      <c r="I19" s="48">
        <v>0.5</v>
      </c>
      <c r="J19" s="48">
        <v>9</v>
      </c>
      <c r="K19" s="48">
        <f>SUM(G19:J19)</f>
        <v>10.5</v>
      </c>
      <c r="L19" s="48">
        <f>+((C19+D19+E19+F19)-(G19+H19+I19+J19))*-1</f>
        <v>0.5</v>
      </c>
      <c r="M19" s="48">
        <v>12</v>
      </c>
    </row>
    <row r="20" spans="1:13">
      <c r="A20" s="53" t="s">
        <v>33</v>
      </c>
      <c r="B20" s="34">
        <f>SUM(C20:F20)</f>
        <v>10</v>
      </c>
      <c r="C20" s="34">
        <v>1</v>
      </c>
      <c r="D20" s="34">
        <v>2</v>
      </c>
      <c r="E20" s="34">
        <v>2</v>
      </c>
      <c r="F20" s="34">
        <v>5</v>
      </c>
      <c r="G20" s="35"/>
      <c r="H20" s="35">
        <v>7</v>
      </c>
      <c r="I20" s="35">
        <v>1</v>
      </c>
      <c r="J20" s="48">
        <v>8</v>
      </c>
      <c r="K20" s="35">
        <f>SUM(G20:J20)</f>
        <v>16</v>
      </c>
      <c r="L20" s="48">
        <f>+((C20+D20+E20+F20)-(G20+H20+I20+J20))*-1</f>
        <v>6</v>
      </c>
      <c r="M20" s="35">
        <v>30</v>
      </c>
    </row>
    <row r="21" spans="1:13">
      <c r="A21" s="53" t="s">
        <v>35</v>
      </c>
      <c r="B21" s="34">
        <f>SUM(C21:F21)</f>
        <v>10</v>
      </c>
      <c r="C21" s="34">
        <v>2</v>
      </c>
      <c r="D21" s="34">
        <v>2</v>
      </c>
      <c r="E21" s="34">
        <v>3</v>
      </c>
      <c r="F21" s="34">
        <v>3</v>
      </c>
      <c r="G21" s="35"/>
      <c r="H21" s="35">
        <v>4</v>
      </c>
      <c r="I21" s="35"/>
      <c r="J21" s="35">
        <v>6</v>
      </c>
      <c r="K21" s="35">
        <f>SUM(G21:J21)</f>
        <v>10</v>
      </c>
      <c r="L21" s="48">
        <f>+((C21+D21+E21+F21)-(G21+H21+I21+J21))*-1</f>
        <v>0</v>
      </c>
      <c r="M21" s="35"/>
    </row>
    <row r="22" spans="1:13">
      <c r="A22" s="53" t="s">
        <v>37</v>
      </c>
      <c r="B22" s="34"/>
      <c r="C22" s="34"/>
      <c r="D22" s="34"/>
      <c r="E22" s="34"/>
      <c r="F22" s="34"/>
      <c r="G22" s="35"/>
      <c r="H22" s="35">
        <v>2.5</v>
      </c>
      <c r="I22" s="35"/>
      <c r="J22" s="35"/>
      <c r="K22" s="35">
        <f>SUM(G22:J22)</f>
        <v>2.5</v>
      </c>
      <c r="L22" s="48">
        <f>+((C22+D22+E22+F22)-(G22+H22+I22+J22))*-1</f>
        <v>2.5</v>
      </c>
      <c r="M22" s="35">
        <v>0</v>
      </c>
    </row>
    <row r="23" spans="1:13">
      <c r="A23" s="53" t="s">
        <v>38</v>
      </c>
      <c r="B23" s="34">
        <f>SUM(C23:F23)</f>
        <v>30</v>
      </c>
      <c r="C23" s="34">
        <v>5</v>
      </c>
      <c r="D23" s="34">
        <v>7</v>
      </c>
      <c r="E23" s="34">
        <v>8</v>
      </c>
      <c r="F23" s="34">
        <v>10</v>
      </c>
      <c r="G23" s="38">
        <v>3.5</v>
      </c>
      <c r="H23" s="35">
        <v>5</v>
      </c>
      <c r="I23" s="35">
        <v>6</v>
      </c>
      <c r="J23" s="35">
        <v>1</v>
      </c>
      <c r="K23" s="35">
        <f>SUM(G23:J23)</f>
        <v>15.5</v>
      </c>
      <c r="L23" s="48">
        <f>+((C23+D23+E23+F23)-(G23+H23+I23+J23))*-1</f>
        <v>-14.5</v>
      </c>
      <c r="M23" s="35">
        <v>13</v>
      </c>
    </row>
    <row r="24" spans="1:13">
      <c r="A24" s="54" t="s">
        <v>39</v>
      </c>
      <c r="B24" s="147">
        <f>SUM(B8:B23)</f>
        <v>190</v>
      </c>
      <c r="C24" s="147">
        <f>SUM(C8:C23)</f>
        <v>38</v>
      </c>
      <c r="D24" s="147">
        <f t="shared" ref="D24:M24" si="3">SUM(D8:D23)</f>
        <v>42</v>
      </c>
      <c r="E24" s="147">
        <f>SUM(E8:E23)</f>
        <v>51</v>
      </c>
      <c r="F24" s="147">
        <f>SUM(F8:F23)</f>
        <v>59</v>
      </c>
      <c r="G24" s="147">
        <f>SUM(G8:G23)</f>
        <v>37.5</v>
      </c>
      <c r="H24" s="147">
        <f>SUM(H8:H23)</f>
        <v>42</v>
      </c>
      <c r="I24" s="147">
        <f>SUM(I8:I23)</f>
        <v>35</v>
      </c>
      <c r="J24" s="147">
        <f>SUM(J8:J23)</f>
        <v>76</v>
      </c>
      <c r="K24" s="108">
        <f>SUM(G24:J24)</f>
        <v>190.5</v>
      </c>
      <c r="L24" s="48">
        <f>+((C24+D24+E24+F24)-(G24+H24+I24+J24))*-1</f>
        <v>0.5</v>
      </c>
      <c r="M24" s="147">
        <f>SUM(M8:M23)</f>
        <v>334</v>
      </c>
    </row>
    <row r="25" spans="1:15">
      <c r="A25" s="148" t="s">
        <v>40</v>
      </c>
      <c r="B25" s="149"/>
      <c r="C25" s="23" t="s">
        <v>14</v>
      </c>
      <c r="D25" s="23"/>
      <c r="E25" s="23"/>
      <c r="F25" s="24"/>
      <c r="G25" s="11" t="s">
        <v>15</v>
      </c>
      <c r="H25" s="23"/>
      <c r="I25" s="23"/>
      <c r="J25" s="24"/>
      <c r="K25" s="63"/>
      <c r="L25" s="64"/>
      <c r="M25" s="107"/>
      <c r="N25" s="89"/>
      <c r="O25" s="90"/>
    </row>
    <row r="26" ht="25.5" spans="1:15">
      <c r="A26" s="25" t="s">
        <v>16</v>
      </c>
      <c r="B26" s="25" t="s">
        <v>17</v>
      </c>
      <c r="C26" s="25" t="s">
        <v>18</v>
      </c>
      <c r="D26" s="25" t="s">
        <v>19</v>
      </c>
      <c r="E26" s="25" t="s">
        <v>20</v>
      </c>
      <c r="F26" s="25" t="s">
        <v>57</v>
      </c>
      <c r="G26" s="25" t="s">
        <v>18</v>
      </c>
      <c r="H26" s="25" t="s">
        <v>73</v>
      </c>
      <c r="I26" s="25" t="s">
        <v>74</v>
      </c>
      <c r="J26" s="25" t="s">
        <v>75</v>
      </c>
      <c r="K26" s="25" t="s">
        <v>22</v>
      </c>
      <c r="L26" s="25" t="s">
        <v>41</v>
      </c>
      <c r="M26" s="25" t="s">
        <v>42</v>
      </c>
      <c r="N26" s="89"/>
      <c r="O26" s="90"/>
    </row>
    <row r="27" spans="1:15">
      <c r="A27" s="29" t="s">
        <v>25</v>
      </c>
      <c r="B27" s="48">
        <f>SUM(C27:F27)</f>
        <v>10.5</v>
      </c>
      <c r="C27" s="35">
        <v>2</v>
      </c>
      <c r="D27" s="34">
        <v>2.25</v>
      </c>
      <c r="E27" s="34">
        <v>2.75</v>
      </c>
      <c r="F27" s="34">
        <v>3.5</v>
      </c>
      <c r="G27" s="49">
        <f>(19400+37160+40800+63850+69700)/100000</f>
        <v>2.3091</v>
      </c>
      <c r="H27" s="50">
        <f>(22400+19400+22800+11000+35600+60400+32400)/100000</f>
        <v>2.04</v>
      </c>
      <c r="I27" s="50">
        <f>(30600+17350+17400+30700+31900+16200)/100000</f>
        <v>1.4415</v>
      </c>
      <c r="J27" s="50">
        <f>(30900+61100+57300+44700+64200+34600+49100)/100000</f>
        <v>3.419</v>
      </c>
      <c r="K27" s="50">
        <f t="shared" ref="K27:K41" si="4">SUM(G27:J27)</f>
        <v>9.2096</v>
      </c>
      <c r="L27" s="50">
        <f>+((C27+D27+E27+F27)-(G27+H27+I27+J27))*-1</f>
        <v>-1.2904</v>
      </c>
      <c r="M27" s="91">
        <f>+K27/B27</f>
        <v>0.877104761904762</v>
      </c>
      <c r="N27" s="89"/>
      <c r="O27" s="90"/>
    </row>
    <row r="28" spans="1:15">
      <c r="A28" s="29" t="s">
        <v>26</v>
      </c>
      <c r="B28" s="48">
        <f t="shared" ref="B28:B41" si="5">SUM(C28:F28)</f>
        <v>10.5</v>
      </c>
      <c r="C28" s="35">
        <v>2</v>
      </c>
      <c r="D28" s="34">
        <v>2.75</v>
      </c>
      <c r="E28" s="34">
        <v>2.5</v>
      </c>
      <c r="F28" s="34">
        <v>3.25</v>
      </c>
      <c r="G28" s="129">
        <f>(3500+4700+45700+42600)/100000</f>
        <v>0.965</v>
      </c>
      <c r="H28" s="130">
        <f>(45400+54300+35200+35200+46200+60110+42200)/100000</f>
        <v>3.1861</v>
      </c>
      <c r="I28" s="50">
        <f>(10800+9400+4400+46300+39700+106000)/100000</f>
        <v>2.166</v>
      </c>
      <c r="J28" s="134">
        <f>(45600+28600+68400+31700+37200+48400+49300)/100000</f>
        <v>3.092</v>
      </c>
      <c r="K28" s="50">
        <f>SUM(G28:J28)</f>
        <v>9.4091</v>
      </c>
      <c r="L28" s="50">
        <f t="shared" ref="L28:L42" si="6">+((C28+D28+E28+F28)-(G28+H28+I28+J28))*-1</f>
        <v>-1.0909</v>
      </c>
      <c r="M28" s="91">
        <f>+K28/B28</f>
        <v>0.896104761904762</v>
      </c>
      <c r="N28" s="92"/>
      <c r="O28" s="93"/>
    </row>
    <row r="29" spans="1:15">
      <c r="A29" s="29" t="s">
        <v>27</v>
      </c>
      <c r="B29" s="48">
        <f>SUM(C29:F29)</f>
        <v>6.5</v>
      </c>
      <c r="C29" s="34">
        <v>1.2</v>
      </c>
      <c r="D29" s="34">
        <v>1.7</v>
      </c>
      <c r="E29" s="34">
        <v>1.2</v>
      </c>
      <c r="F29" s="34">
        <v>2.4</v>
      </c>
      <c r="G29" s="129">
        <f>(17000+9900+10490+9100)/100000</f>
        <v>0.4649</v>
      </c>
      <c r="H29" s="50">
        <f>(48200+26400+58400+27700+34200+22800+24300)/100000</f>
        <v>2.42</v>
      </c>
      <c r="I29" s="50">
        <f>(19100+14500+30700+39900+17600+34800)/100000</f>
        <v>1.566</v>
      </c>
      <c r="J29" s="134">
        <f>(11000+24700+48700+47900+21100+35900+16400)/100000</f>
        <v>2.057</v>
      </c>
      <c r="K29" s="50">
        <f>SUM(G29:J29)</f>
        <v>6.5079</v>
      </c>
      <c r="L29" s="50">
        <f>+((C29+D29+E29+F29)-(G29+H29+I29+J29))*-1</f>
        <v>0.00789999999999935</v>
      </c>
      <c r="M29" s="91">
        <f t="shared" ref="M29:M42" si="7">+K29/B29</f>
        <v>1.00121538461538</v>
      </c>
      <c r="N29" s="92"/>
      <c r="O29" s="93"/>
    </row>
    <row r="30" spans="1:15">
      <c r="A30" s="29" t="s">
        <v>28</v>
      </c>
      <c r="B30" s="48">
        <f>SUM(C30:F30)</f>
        <v>6.75</v>
      </c>
      <c r="C30" s="34">
        <v>1.25</v>
      </c>
      <c r="D30" s="34">
        <v>1.75</v>
      </c>
      <c r="E30" s="34">
        <v>1.25</v>
      </c>
      <c r="F30" s="34">
        <v>2.5</v>
      </c>
      <c r="G30" s="129">
        <f>(9400+17300+8700+14000)/100000</f>
        <v>0.494</v>
      </c>
      <c r="H30" s="140">
        <f>(38100+18300+21900+13800+18900+35300+22750)/100000</f>
        <v>1.6905</v>
      </c>
      <c r="I30" s="50">
        <f>(19750+8300+14800+22750+69300+16700)/100000</f>
        <v>1.516</v>
      </c>
      <c r="J30" s="134">
        <f>(17545+20750+44655+19700+38100+83400)/100000</f>
        <v>2.2415</v>
      </c>
      <c r="K30" s="50">
        <f>SUM(G30:J30)</f>
        <v>5.942</v>
      </c>
      <c r="L30" s="50">
        <f>+((C30+D30+E30+F30)-(G30+H30+I30+J30))*-1</f>
        <v>-0.808</v>
      </c>
      <c r="M30" s="91">
        <f>+K30/B30</f>
        <v>0.880296296296296</v>
      </c>
      <c r="N30" s="92"/>
      <c r="O30" s="93"/>
    </row>
    <row r="31" spans="1:15">
      <c r="A31" s="29" t="s">
        <v>29</v>
      </c>
      <c r="B31" s="48">
        <f>SUM(C31:F31)</f>
        <v>2.4</v>
      </c>
      <c r="C31" s="34">
        <v>0.25</v>
      </c>
      <c r="D31" s="34">
        <v>0.8</v>
      </c>
      <c r="E31" s="34">
        <v>0.6</v>
      </c>
      <c r="F31" s="34">
        <v>0.75</v>
      </c>
      <c r="G31" s="129">
        <f>(10000)/100000</f>
        <v>0.1</v>
      </c>
      <c r="H31" s="50">
        <f>(13200+17600+4400)/100000</f>
        <v>0.352</v>
      </c>
      <c r="I31" s="50">
        <f>(18800+20000)/100000</f>
        <v>0.388</v>
      </c>
      <c r="J31" s="134">
        <f>(27200+8800+44000+29000)/100000</f>
        <v>1.09</v>
      </c>
      <c r="K31" s="50">
        <f>SUM(G31:J31)</f>
        <v>1.93</v>
      </c>
      <c r="L31" s="50">
        <f>+((C31+D31+E31+F31)-(G31+H31+I31+J31))*-1</f>
        <v>-0.47</v>
      </c>
      <c r="M31" s="91">
        <f>+K31/B31</f>
        <v>0.804166666666667</v>
      </c>
      <c r="N31" s="92"/>
      <c r="O31" s="93"/>
    </row>
    <row r="32" spans="1:15">
      <c r="A32" s="29" t="s">
        <v>87</v>
      </c>
      <c r="B32" s="48">
        <f>SUM(C32:F32)</f>
        <v>0.5</v>
      </c>
      <c r="C32" s="34">
        <v>0.1</v>
      </c>
      <c r="D32" s="34">
        <v>0.1</v>
      </c>
      <c r="E32" s="34">
        <v>0.1</v>
      </c>
      <c r="F32" s="34">
        <v>0.2</v>
      </c>
      <c r="G32" s="129">
        <f>(9050)/100000</f>
        <v>0.0905</v>
      </c>
      <c r="H32" s="50">
        <f>(9750+1350+10500)/100000</f>
        <v>0.216</v>
      </c>
      <c r="I32" s="50">
        <f>(16550)/100000</f>
        <v>0.1655</v>
      </c>
      <c r="J32" s="134">
        <f>(11800+5000)/100000</f>
        <v>0.168</v>
      </c>
      <c r="K32" s="50">
        <f>SUM(G32:J32)</f>
        <v>0.64</v>
      </c>
      <c r="L32" s="50">
        <f>+((C32+D32+E32+F32)-(G32+H32+I32+J32))*-1</f>
        <v>0.14</v>
      </c>
      <c r="M32" s="91">
        <f>+K32/B32</f>
        <v>1.28</v>
      </c>
      <c r="N32" s="92"/>
      <c r="O32" s="93"/>
    </row>
    <row r="33" spans="1:15">
      <c r="A33" s="51" t="s">
        <v>30</v>
      </c>
      <c r="B33" s="48">
        <f>SUM(C33:F33)</f>
        <v>7.5</v>
      </c>
      <c r="C33" s="35">
        <v>1.8</v>
      </c>
      <c r="D33" s="52">
        <v>1.5</v>
      </c>
      <c r="E33" s="52">
        <v>1.5</v>
      </c>
      <c r="F33" s="52">
        <v>2.7</v>
      </c>
      <c r="G33" s="129">
        <f>(8800+57800+10000+47500+5000)/100000</f>
        <v>1.291</v>
      </c>
      <c r="H33" s="50">
        <f>(109200+32480+5380+9000+32000+10000)/100000</f>
        <v>1.9806</v>
      </c>
      <c r="I33" s="50">
        <f>(5000+5000)/100000</f>
        <v>0.1</v>
      </c>
      <c r="J33" s="134">
        <f>(73600+96500+10400+13400+58800+40200)/100000</f>
        <v>2.929</v>
      </c>
      <c r="K33" s="50">
        <f>SUM(G33:J33)</f>
        <v>6.3006</v>
      </c>
      <c r="L33" s="50">
        <f>+((C33+D33+E33+F33)-(G33+H33+I33+J33))*-1</f>
        <v>-1.1994</v>
      </c>
      <c r="M33" s="91">
        <f>+K33/B33</f>
        <v>0.84008</v>
      </c>
      <c r="N33" s="94"/>
      <c r="O33" s="95"/>
    </row>
    <row r="34" spans="1:15">
      <c r="A34" s="51" t="s">
        <v>31</v>
      </c>
      <c r="B34" s="48">
        <f>SUM(C34:F34)</f>
        <v>5.5</v>
      </c>
      <c r="C34" s="35">
        <v>1</v>
      </c>
      <c r="D34" s="52">
        <v>1.6</v>
      </c>
      <c r="E34" s="52">
        <v>1.4</v>
      </c>
      <c r="F34" s="52">
        <v>1.5</v>
      </c>
      <c r="G34" s="129">
        <f>(13100+20400+18250+17800+5700+15400)/100000</f>
        <v>0.9065</v>
      </c>
      <c r="H34" s="50">
        <f>(31200+20000+32600+14300+11000+16950+17200)/100000</f>
        <v>1.4325</v>
      </c>
      <c r="I34" s="50">
        <f>(16500+25442+15400+20400+31455+24840)/100000</f>
        <v>1.34037</v>
      </c>
      <c r="J34" s="134">
        <f>(23300+14600+21300+15500+18800+22000+18800)/100000</f>
        <v>1.343</v>
      </c>
      <c r="K34" s="50">
        <f>SUM(G34:J34)</f>
        <v>5.02237</v>
      </c>
      <c r="L34" s="50">
        <f>+((C34+D34+E34+F34)-(G34+H34+I34+J34))*-1</f>
        <v>-0.47763</v>
      </c>
      <c r="M34" s="91">
        <f>+K34/B34</f>
        <v>0.913158181818182</v>
      </c>
      <c r="N34" s="92"/>
      <c r="O34" s="93"/>
    </row>
    <row r="35" spans="1:15">
      <c r="A35" s="51" t="s">
        <v>32</v>
      </c>
      <c r="B35" s="48">
        <f>SUM(C35:F35)</f>
        <v>7</v>
      </c>
      <c r="C35" s="35">
        <v>1.5</v>
      </c>
      <c r="D35" s="52">
        <v>1.9</v>
      </c>
      <c r="E35" s="52">
        <v>1.3</v>
      </c>
      <c r="F35" s="52">
        <v>2.3</v>
      </c>
      <c r="G35" s="129">
        <f>(14200+22200+22800+44450+16500)/100000</f>
        <v>1.2015</v>
      </c>
      <c r="H35" s="50">
        <f>(16100+59000+21100+13500+10100+23000+14200)/100000</f>
        <v>1.57</v>
      </c>
      <c r="I35" s="50">
        <f>(24700+12500+24100+10800+23400+35700)/100000</f>
        <v>1.312</v>
      </c>
      <c r="J35" s="134">
        <f>(24000+20800+20600+36200+18600+30200+34050)/100000</f>
        <v>1.8445</v>
      </c>
      <c r="K35" s="50">
        <f>SUM(G35:J35)</f>
        <v>5.928</v>
      </c>
      <c r="L35" s="50">
        <f>+((C35+D35+E35+F35)-(G35+H35+I35+J35))*-1</f>
        <v>-1.072</v>
      </c>
      <c r="M35" s="91">
        <f>+K35/B35</f>
        <v>0.846857142857143</v>
      </c>
      <c r="N35" s="92"/>
      <c r="O35" s="93"/>
    </row>
    <row r="36" spans="1:15">
      <c r="A36" s="51" t="s">
        <v>34</v>
      </c>
      <c r="B36" s="48">
        <f>SUM(C36:F36)</f>
        <v>3.35</v>
      </c>
      <c r="C36" s="35">
        <v>0.8</v>
      </c>
      <c r="D36" s="52">
        <v>1</v>
      </c>
      <c r="E36" s="52">
        <v>0.75</v>
      </c>
      <c r="F36" s="52">
        <v>0.8</v>
      </c>
      <c r="G36" s="129">
        <f>(13300+14100+15804+19850+9000)/100000</f>
        <v>0.72054</v>
      </c>
      <c r="H36" s="50">
        <f>(22600+17300+14200+18000+18350+2800+40200)/100000</f>
        <v>1.3345</v>
      </c>
      <c r="I36" s="50">
        <f>(20100+8200+10300+17000+26800+19400)/100000</f>
        <v>1.018</v>
      </c>
      <c r="J36" s="134">
        <f>(21000+30500+49100+18100+9300+7000+24710)/100000</f>
        <v>1.5971</v>
      </c>
      <c r="K36" s="50">
        <f>SUM(G36:J36)</f>
        <v>4.67014</v>
      </c>
      <c r="L36" s="50">
        <f>+((C36+D36+E36+F36)-(G36+H36+I36+J36))*-1</f>
        <v>1.32014</v>
      </c>
      <c r="M36" s="91">
        <f>+K36/B36</f>
        <v>1.39407164179104</v>
      </c>
      <c r="N36" s="92"/>
      <c r="O36" s="93"/>
    </row>
    <row r="37" spans="1:15">
      <c r="A37" s="51" t="s">
        <v>51</v>
      </c>
      <c r="B37" s="48">
        <f>SUM(C37:F37)</f>
        <v>7</v>
      </c>
      <c r="C37" s="35">
        <v>1.4</v>
      </c>
      <c r="D37" s="52">
        <v>1.5</v>
      </c>
      <c r="E37" s="52">
        <v>1.7</v>
      </c>
      <c r="F37" s="52">
        <v>2.4</v>
      </c>
      <c r="G37" s="129">
        <f>(13240+20400+41500+14700+11000+22120)/100000</f>
        <v>1.2296</v>
      </c>
      <c r="H37" s="50">
        <f>(23460+30100+25000+22500+51800+12700+41700)/100000</f>
        <v>2.0726</v>
      </c>
      <c r="I37" s="50">
        <f>(12600+23700+25700+20250+20700+16020)/100000</f>
        <v>1.1897</v>
      </c>
      <c r="J37" s="134">
        <f>(40400+93850+19500+33600+13700+7010+56030)/100000</f>
        <v>2.6409</v>
      </c>
      <c r="K37" s="50">
        <f>SUM(G37:J37)</f>
        <v>7.1328</v>
      </c>
      <c r="L37" s="50">
        <f>+((C37+D37+E37+F37)-(G37+H37+I37+J37))*-1</f>
        <v>0.1328</v>
      </c>
      <c r="M37" s="91">
        <f>+K37/B37</f>
        <v>1.01897142857143</v>
      </c>
      <c r="N37" s="92"/>
      <c r="O37" s="93"/>
    </row>
    <row r="38" spans="1:15">
      <c r="A38" s="51" t="s">
        <v>88</v>
      </c>
      <c r="B38" s="48">
        <f ca="1">SUM(C38:D38:E38:F38)</f>
        <v>2.8</v>
      </c>
      <c r="C38" s="35">
        <v>0.5</v>
      </c>
      <c r="D38" s="52">
        <v>0.7</v>
      </c>
      <c r="E38" s="52">
        <v>0.7</v>
      </c>
      <c r="F38" s="52">
        <v>0.9</v>
      </c>
      <c r="G38" s="129">
        <f>(11950+17050+14000+17350+3900+20800)/100000</f>
        <v>0.8505</v>
      </c>
      <c r="H38" s="50">
        <f>(13500+16200+14700+20100+14500+11300+14290)/100000</f>
        <v>1.0459</v>
      </c>
      <c r="I38" s="50">
        <f>(16450+15100+12200+15150+28700+16400)/100000</f>
        <v>1.04</v>
      </c>
      <c r="J38" s="134">
        <f>(17000+16300+17300+13400+13700+11600+7100)/100000</f>
        <v>0.964</v>
      </c>
      <c r="K38" s="50">
        <f>SUM(G38:J38)</f>
        <v>3.9004</v>
      </c>
      <c r="L38" s="50">
        <f>+((C38+D38+E38+F38)-(G38+H38+I38+J38))*-1</f>
        <v>1.1004</v>
      </c>
      <c r="M38" s="91">
        <f ca="1">+K38/B38</f>
        <v>1.393</v>
      </c>
      <c r="N38" s="92"/>
      <c r="O38" s="93"/>
    </row>
    <row r="39" spans="1:15">
      <c r="A39" s="53" t="s">
        <v>37</v>
      </c>
      <c r="B39" s="48">
        <f>SUM(C39:F39)</f>
        <v>1.5</v>
      </c>
      <c r="C39" s="35">
        <v>0.5</v>
      </c>
      <c r="D39" s="52">
        <v>0.25</v>
      </c>
      <c r="E39" s="52">
        <v>0.25</v>
      </c>
      <c r="F39" s="52">
        <v>0.5</v>
      </c>
      <c r="G39" s="129">
        <f>(28600+8800+17635+9400)/100000</f>
        <v>0.64435</v>
      </c>
      <c r="H39" s="50">
        <f>(11300+13200)/100000</f>
        <v>0.245</v>
      </c>
      <c r="I39" s="50">
        <f>(15200)/100000</f>
        <v>0.152</v>
      </c>
      <c r="J39" s="134">
        <f>(30800)/100000</f>
        <v>0.308</v>
      </c>
      <c r="K39" s="50">
        <f>SUM(G39:J39)</f>
        <v>1.34935</v>
      </c>
      <c r="L39" s="50">
        <f>+((C39+D39+E39+F39)-(G39+H39+I39+J39))*-1</f>
        <v>-0.15065</v>
      </c>
      <c r="M39" s="91">
        <f>+K39/B39</f>
        <v>0.899566666666667</v>
      </c>
      <c r="N39" s="92"/>
      <c r="O39" s="93"/>
    </row>
    <row r="40" spans="1:15">
      <c r="A40" s="53" t="s">
        <v>35</v>
      </c>
      <c r="B40" s="48">
        <f>SUM(C40:F40)</f>
        <v>3</v>
      </c>
      <c r="C40" s="35">
        <v>0.75</v>
      </c>
      <c r="D40" s="52">
        <v>0.5</v>
      </c>
      <c r="E40" s="52">
        <v>0.75</v>
      </c>
      <c r="F40" s="52">
        <v>1</v>
      </c>
      <c r="G40" s="129"/>
      <c r="H40" s="50">
        <f>(4400+77200+11000)/100000</f>
        <v>0.926</v>
      </c>
      <c r="I40" s="50">
        <f>(13000)/100000</f>
        <v>0.13</v>
      </c>
      <c r="J40" s="134">
        <f>(94274+85400)/100000</f>
        <v>1.79674</v>
      </c>
      <c r="K40" s="50">
        <f>SUM(G40:J40)</f>
        <v>2.85274</v>
      </c>
      <c r="L40" s="50">
        <f>+((C40+D40+E40+F40)-(G40+H40+I40+J40))*-1</f>
        <v>-0.14726</v>
      </c>
      <c r="M40" s="91">
        <f>+K40/B40</f>
        <v>0.950913333333333</v>
      </c>
      <c r="N40" s="92"/>
      <c r="O40" s="93"/>
    </row>
    <row r="41" spans="1:15">
      <c r="A41" s="53" t="s">
        <v>38</v>
      </c>
      <c r="B41" s="48">
        <f>SUM(C41:F41)</f>
        <v>13.2</v>
      </c>
      <c r="C41" s="35">
        <v>2.75</v>
      </c>
      <c r="D41" s="52">
        <v>2.75</v>
      </c>
      <c r="E41" s="52">
        <v>3.2</v>
      </c>
      <c r="F41" s="52">
        <v>4.5</v>
      </c>
      <c r="G41" s="129">
        <f>(13500+34000+23600+16820+52200)/100000</f>
        <v>1.4012</v>
      </c>
      <c r="H41" s="50">
        <f>(150400+48400+58200+31200+52200+37400+67400)/100000</f>
        <v>4.452</v>
      </c>
      <c r="I41" s="50">
        <f>(31250+71600+74900+49200+64955+4600)/100000</f>
        <v>2.96505</v>
      </c>
      <c r="J41" s="134">
        <f>(88800+20745+114420+12800+54210+66615+55500)/100000</f>
        <v>4.1309</v>
      </c>
      <c r="K41" s="50">
        <f>SUM(G41:J41)</f>
        <v>12.94915</v>
      </c>
      <c r="L41" s="50">
        <f>+((C41+D41+E41+F41)-(G41+H41+I41+J41))*-1</f>
        <v>-0.25085</v>
      </c>
      <c r="M41" s="91">
        <f>+K41/B41</f>
        <v>0.980996212121212</v>
      </c>
      <c r="N41" s="92"/>
      <c r="O41" s="93"/>
    </row>
    <row r="42" spans="1:15">
      <c r="A42" s="54" t="s">
        <v>44</v>
      </c>
      <c r="B42" s="48">
        <f ca="1" t="shared" ref="B42:K42" si="8">SUM(B27:B41)</f>
        <v>88</v>
      </c>
      <c r="C42" s="35">
        <f>SUM(C27:C41)</f>
        <v>17.8</v>
      </c>
      <c r="D42" s="48">
        <f>SUM(D27:D41)</f>
        <v>21.05</v>
      </c>
      <c r="E42" s="48">
        <f>SUM(E27:E41)</f>
        <v>19.95</v>
      </c>
      <c r="F42" s="48">
        <f>SUM(F27:F41)</f>
        <v>29.2</v>
      </c>
      <c r="G42" s="131">
        <f>SUM(G27:G41)</f>
        <v>12.66869</v>
      </c>
      <c r="H42" s="50">
        <f>SUM(H27:H41)</f>
        <v>24.9637</v>
      </c>
      <c r="I42" s="50">
        <f>SUM(I27:I41)</f>
        <v>16.49012</v>
      </c>
      <c r="J42" s="134">
        <f>SUM(J27:J41)</f>
        <v>29.62164</v>
      </c>
      <c r="K42" s="135">
        <f>SUM(K27:K41)</f>
        <v>83.74415</v>
      </c>
      <c r="L42" s="50">
        <f>+((C42+D42+E42+F42)-(G42+H42+I42+J42))*-1</f>
        <v>-4.25585</v>
      </c>
      <c r="M42" s="154">
        <f ca="1">+K42/B42</f>
        <v>0.951638068181818</v>
      </c>
      <c r="N42" s="92"/>
      <c r="O42" s="93"/>
    </row>
    <row r="43" spans="1:15">
      <c r="A43" s="55"/>
      <c r="B43" s="56"/>
      <c r="C43" s="57"/>
      <c r="D43" s="57"/>
      <c r="N43" s="94"/>
      <c r="O43" s="95"/>
    </row>
    <row r="44" spans="14:15">
      <c r="N44" s="92"/>
      <c r="O44" s="93"/>
    </row>
    <row r="45" spans="14:15">
      <c r="N45" s="92"/>
      <c r="O45" s="93"/>
    </row>
    <row r="46" spans="14:15">
      <c r="N46" s="92"/>
      <c r="O46" s="93"/>
    </row>
    <row r="47" spans="14:15">
      <c r="N47" s="92"/>
      <c r="O47" s="93"/>
    </row>
    <row r="48" spans="14:15">
      <c r="N48" s="92"/>
      <c r="O48" s="93"/>
    </row>
    <row r="49" spans="14:15">
      <c r="N49" s="92"/>
      <c r="O49" s="93"/>
    </row>
    <row r="50" spans="14:15">
      <c r="N50" s="92"/>
      <c r="O50" s="93"/>
    </row>
    <row r="51" spans="14:15">
      <c r="N51" s="92"/>
      <c r="O51" s="93"/>
    </row>
    <row r="52" spans="14:15">
      <c r="N52" s="92"/>
      <c r="O52" s="93"/>
    </row>
    <row r="53" spans="14:15">
      <c r="N53" s="94"/>
      <c r="O53" s="95"/>
    </row>
    <row r="54" spans="14:15">
      <c r="N54" s="92"/>
      <c r="O54" s="93"/>
    </row>
    <row r="55" spans="14:15">
      <c r="N55" s="92"/>
      <c r="O55" s="93"/>
    </row>
    <row r="56" spans="14:15">
      <c r="N56" s="92"/>
      <c r="O56" s="93"/>
    </row>
    <row r="57" spans="14:15">
      <c r="N57" s="92"/>
      <c r="O57" s="93"/>
    </row>
    <row r="58" spans="14:15">
      <c r="N58" s="92"/>
      <c r="O58" s="93"/>
    </row>
    <row r="59" spans="14:15">
      <c r="N59" s="92"/>
      <c r="O59" s="93"/>
    </row>
    <row r="60" spans="14:15">
      <c r="N60" s="92"/>
      <c r="O60" s="93"/>
    </row>
    <row r="61" spans="14:15">
      <c r="N61" s="94"/>
      <c r="O61" s="95"/>
    </row>
    <row r="62" spans="14:15">
      <c r="N62" s="92"/>
      <c r="O62" s="93"/>
    </row>
    <row r="63" spans="14:15">
      <c r="N63" s="92"/>
      <c r="O63" s="93"/>
    </row>
    <row r="64" spans="14:15">
      <c r="N64" s="92"/>
      <c r="O64" s="93"/>
    </row>
    <row r="65" spans="14:15">
      <c r="N65" s="92"/>
      <c r="O65" s="93"/>
    </row>
    <row r="66" spans="14:15">
      <c r="N66" s="92"/>
      <c r="O66" s="93"/>
    </row>
    <row r="67" spans="14:15">
      <c r="N67" s="92"/>
      <c r="O67" s="93"/>
    </row>
    <row r="68" spans="14:15">
      <c r="N68" s="92"/>
      <c r="O68" s="93"/>
    </row>
    <row r="69" spans="14:15">
      <c r="N69" s="92"/>
      <c r="O69" s="96"/>
    </row>
  </sheetData>
  <mergeCells count="6">
    <mergeCell ref="B1:M1"/>
    <mergeCell ref="D5:F5"/>
    <mergeCell ref="C6:F6"/>
    <mergeCell ref="G6:J6"/>
    <mergeCell ref="C25:F25"/>
    <mergeCell ref="G25:J25"/>
  </mergeCells>
  <pageMargins left="0.708333333333333" right="0.708333333333333" top="0.747916666666667" bottom="0.747916666666667" header="0.314583333333333" footer="0.314583333333333"/>
  <pageSetup paperSize="1" scale="75" orientation="landscape" verticalDpi="180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O69"/>
  <sheetViews>
    <sheetView topLeftCell="A26" workbookViewId="0">
      <selection activeCell="A1" sqref="A1:M42"/>
    </sheetView>
  </sheetViews>
  <sheetFormatPr defaultColWidth="9" defaultRowHeight="15"/>
  <cols>
    <col min="1" max="1" width="18.8571428571429" style="1" customWidth="1"/>
    <col min="2" max="2" width="10.1428571428571" style="2" customWidth="1"/>
    <col min="3" max="3" width="9.42857142857143" style="1" customWidth="1"/>
    <col min="4" max="5" width="9.71428571428571" style="1" customWidth="1"/>
    <col min="6" max="6" width="10.2857142857143" style="1" customWidth="1"/>
    <col min="7" max="7" width="10.1428571428571" style="1" customWidth="1"/>
    <col min="8" max="8" width="10.2857142857143" style="1" customWidth="1"/>
    <col min="9" max="10" width="10" style="1" customWidth="1"/>
    <col min="11" max="11" width="10.7142857142857" style="1" customWidth="1"/>
    <col min="12" max="12" width="11.5714285714286" style="1" customWidth="1"/>
    <col min="13" max="13" width="7.85714285714286" style="1" customWidth="1"/>
    <col min="14" max="15" width="9.14285714285714" style="1"/>
    <col min="16" max="16" width="17.2857142857143" style="1" customWidth="1"/>
    <col min="17" max="16384" width="9.14285714285714" style="1"/>
  </cols>
  <sheetData>
    <row r="1" spans="1:13">
      <c r="A1" s="125" t="s">
        <v>93</v>
      </c>
      <c r="B1" s="119" t="s">
        <v>94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1"/>
    </row>
    <row r="2" spans="1:13">
      <c r="A2" s="6" t="s">
        <v>2</v>
      </c>
      <c r="B2" s="7">
        <f>+K24</f>
        <v>212.5</v>
      </c>
      <c r="C2" s="8"/>
      <c r="D2" s="8"/>
      <c r="E2" s="8"/>
      <c r="F2" s="8"/>
      <c r="G2" s="8"/>
      <c r="H2" s="8"/>
      <c r="I2" s="8"/>
      <c r="J2" s="8"/>
      <c r="K2" s="8"/>
      <c r="L2" s="8"/>
      <c r="M2" s="104"/>
    </row>
    <row r="3" spans="1:13">
      <c r="A3" s="6" t="s">
        <v>3</v>
      </c>
      <c r="B3" s="7">
        <f>+M24</f>
        <v>431</v>
      </c>
      <c r="C3" s="8"/>
      <c r="D3" s="8"/>
      <c r="E3" s="8"/>
      <c r="F3" s="8"/>
      <c r="G3" s="8"/>
      <c r="H3" s="8"/>
      <c r="I3" s="8"/>
      <c r="J3" s="8"/>
      <c r="K3" s="8"/>
      <c r="L3" s="8"/>
      <c r="M3" s="104"/>
    </row>
    <row r="4" spans="1:13">
      <c r="A4" s="6" t="s">
        <v>95</v>
      </c>
      <c r="B4" s="11"/>
      <c r="C4" s="12"/>
      <c r="D4" s="13" t="s">
        <v>5</v>
      </c>
      <c r="E4" s="12">
        <v>10.5</v>
      </c>
      <c r="F4" s="12"/>
      <c r="G4" s="14" t="s">
        <v>78</v>
      </c>
      <c r="H4" s="155"/>
      <c r="I4" s="12" t="s">
        <v>7</v>
      </c>
      <c r="J4" s="13">
        <f>+K42</f>
        <v>97.08827</v>
      </c>
      <c r="K4" s="12" t="s">
        <v>8</v>
      </c>
      <c r="L4" s="12" t="s">
        <v>48</v>
      </c>
      <c r="M4" s="106"/>
    </row>
    <row r="5" spans="1:13">
      <c r="A5" s="16" t="s">
        <v>10</v>
      </c>
      <c r="B5" s="17" t="s">
        <v>96</v>
      </c>
      <c r="C5" s="18" t="s">
        <v>97</v>
      </c>
      <c r="D5" s="19">
        <v>9207750</v>
      </c>
      <c r="E5" s="19"/>
      <c r="F5" s="19"/>
      <c r="G5" s="20"/>
      <c r="H5" s="21"/>
      <c r="I5" s="62"/>
      <c r="J5" s="62"/>
      <c r="K5" s="62"/>
      <c r="L5" s="62"/>
      <c r="M5" s="105"/>
    </row>
    <row r="6" spans="1:13">
      <c r="A6" s="22" t="s">
        <v>13</v>
      </c>
      <c r="B6" s="23"/>
      <c r="C6" s="23" t="s">
        <v>14</v>
      </c>
      <c r="D6" s="23"/>
      <c r="E6" s="23"/>
      <c r="F6" s="24"/>
      <c r="G6" s="11" t="s">
        <v>15</v>
      </c>
      <c r="H6" s="23"/>
      <c r="I6" s="23"/>
      <c r="J6" s="24"/>
      <c r="K6" s="63"/>
      <c r="L6" s="64"/>
      <c r="M6" s="107"/>
    </row>
    <row r="7" ht="25.5" spans="1:13">
      <c r="A7" s="25" t="s">
        <v>16</v>
      </c>
      <c r="B7" s="25" t="s">
        <v>17</v>
      </c>
      <c r="C7" s="25" t="s">
        <v>18</v>
      </c>
      <c r="D7" s="25" t="s">
        <v>19</v>
      </c>
      <c r="E7" s="25" t="s">
        <v>20</v>
      </c>
      <c r="F7" s="25" t="s">
        <v>56</v>
      </c>
      <c r="G7" s="25" t="s">
        <v>18</v>
      </c>
      <c r="H7" s="25" t="s">
        <v>73</v>
      </c>
      <c r="I7" s="25" t="s">
        <v>74</v>
      </c>
      <c r="J7" s="25" t="s">
        <v>75</v>
      </c>
      <c r="K7" s="25" t="s">
        <v>22</v>
      </c>
      <c r="L7" s="25" t="s">
        <v>23</v>
      </c>
      <c r="M7" s="25" t="s">
        <v>24</v>
      </c>
    </row>
    <row r="8" spans="1:13">
      <c r="A8" s="29" t="s">
        <v>25</v>
      </c>
      <c r="B8" s="34">
        <f>SUM(C8:F8)</f>
        <v>15</v>
      </c>
      <c r="C8" s="34">
        <v>5</v>
      </c>
      <c r="D8" s="34">
        <v>3</v>
      </c>
      <c r="E8" s="34">
        <v>5</v>
      </c>
      <c r="F8" s="34">
        <v>2</v>
      </c>
      <c r="G8" s="48">
        <v>10</v>
      </c>
      <c r="H8" s="48">
        <v>0.5</v>
      </c>
      <c r="I8" s="48">
        <v>1.5</v>
      </c>
      <c r="J8" s="48">
        <v>3</v>
      </c>
      <c r="K8" s="48">
        <f t="shared" ref="K8:K24" si="0">SUM(G8:J8)</f>
        <v>15</v>
      </c>
      <c r="L8" s="48">
        <f>+((C8+D8+E8+F8)-(G8+H8+I8+J8))*-1</f>
        <v>0</v>
      </c>
      <c r="M8" s="48"/>
    </row>
    <row r="9" spans="1:13">
      <c r="A9" s="29" t="s">
        <v>26</v>
      </c>
      <c r="B9" s="34">
        <f t="shared" ref="B9:B23" si="1">SUM(C9:F9)</f>
        <v>15</v>
      </c>
      <c r="C9" s="34">
        <v>5</v>
      </c>
      <c r="D9" s="34">
        <v>5</v>
      </c>
      <c r="E9" s="34">
        <v>3</v>
      </c>
      <c r="F9" s="34">
        <v>2</v>
      </c>
      <c r="G9" s="48">
        <v>5</v>
      </c>
      <c r="H9" s="48">
        <v>10.5</v>
      </c>
      <c r="I9" s="48">
        <v>1</v>
      </c>
      <c r="J9" s="48"/>
      <c r="K9" s="48">
        <f>SUM(G9:J9)</f>
        <v>16.5</v>
      </c>
      <c r="L9" s="48">
        <f t="shared" ref="L9:L24" si="2">+((C9+D9+E9+F9)-(G9+H9+I9+J9))*-1</f>
        <v>1.5</v>
      </c>
      <c r="M9" s="48">
        <v>34</v>
      </c>
    </row>
    <row r="10" spans="1:13">
      <c r="A10" s="29" t="s">
        <v>27</v>
      </c>
      <c r="B10" s="34">
        <f>SUM(C10:F10)</f>
        <v>12</v>
      </c>
      <c r="C10" s="34">
        <v>2</v>
      </c>
      <c r="D10" s="34">
        <v>3</v>
      </c>
      <c r="E10" s="34">
        <v>4</v>
      </c>
      <c r="F10" s="34">
        <v>3</v>
      </c>
      <c r="G10" s="48"/>
      <c r="H10" s="48">
        <v>2</v>
      </c>
      <c r="I10" s="48">
        <v>2</v>
      </c>
      <c r="J10" s="48">
        <v>8</v>
      </c>
      <c r="K10" s="48">
        <f>SUM(G10:J10)</f>
        <v>12</v>
      </c>
      <c r="L10" s="48">
        <f>+((C10+D10+E10+F10)-(G10+H10+I10+J10))*-1</f>
        <v>0</v>
      </c>
      <c r="M10" s="48">
        <v>89</v>
      </c>
    </row>
    <row r="11" spans="1:13">
      <c r="A11" s="29" t="s">
        <v>28</v>
      </c>
      <c r="B11" s="34">
        <f>SUM(C11:F11)</f>
        <v>12</v>
      </c>
      <c r="C11" s="34">
        <v>3</v>
      </c>
      <c r="D11" s="34">
        <v>2</v>
      </c>
      <c r="E11" s="34">
        <v>4</v>
      </c>
      <c r="F11" s="34">
        <v>3</v>
      </c>
      <c r="G11" s="48"/>
      <c r="H11" s="48">
        <v>4</v>
      </c>
      <c r="I11" s="48"/>
      <c r="J11" s="48">
        <v>12</v>
      </c>
      <c r="K11" s="48">
        <f>SUM(G11:J11)</f>
        <v>16</v>
      </c>
      <c r="L11" s="48">
        <f>+((C11+D11+E11+F11)-(G11+H11+I11+J11))*-1</f>
        <v>4</v>
      </c>
      <c r="M11" s="48">
        <v>55</v>
      </c>
    </row>
    <row r="12" spans="1:13">
      <c r="A12" s="29" t="s">
        <v>29</v>
      </c>
      <c r="B12" s="34">
        <f>SUM(C12:F12)</f>
        <v>10</v>
      </c>
      <c r="C12" s="34">
        <v>2</v>
      </c>
      <c r="D12" s="34">
        <v>2</v>
      </c>
      <c r="E12" s="34">
        <v>3</v>
      </c>
      <c r="F12" s="34">
        <v>3</v>
      </c>
      <c r="G12" s="48"/>
      <c r="H12" s="48">
        <v>2</v>
      </c>
      <c r="I12" s="48"/>
      <c r="J12" s="48"/>
      <c r="K12" s="48">
        <f>SUM(G12:J12)</f>
        <v>2</v>
      </c>
      <c r="L12" s="48">
        <f>+((C12+D12+E12+F12)-(G12+H12+I12+J12))*-1</f>
        <v>-8</v>
      </c>
      <c r="M12" s="48">
        <v>18</v>
      </c>
    </row>
    <row r="13" spans="1:13">
      <c r="A13" s="29" t="s">
        <v>87</v>
      </c>
      <c r="B13" s="34">
        <f>SUM(C13:F13)</f>
        <v>10</v>
      </c>
      <c r="C13" s="34">
        <v>2</v>
      </c>
      <c r="D13" s="34">
        <v>2</v>
      </c>
      <c r="E13" s="34">
        <v>3</v>
      </c>
      <c r="F13" s="34">
        <v>3</v>
      </c>
      <c r="G13" s="48">
        <v>1.5</v>
      </c>
      <c r="H13" s="48">
        <v>6.5</v>
      </c>
      <c r="I13" s="48">
        <v>6</v>
      </c>
      <c r="J13" s="48"/>
      <c r="K13" s="48">
        <f>SUM(G13:J13)</f>
        <v>14</v>
      </c>
      <c r="L13" s="48">
        <f>+((C13+D13+E13+F13)-(G13+H13+I13+J13))*-1</f>
        <v>4</v>
      </c>
      <c r="M13" s="48"/>
    </row>
    <row r="14" spans="1:13">
      <c r="A14" s="51" t="s">
        <v>30</v>
      </c>
      <c r="B14" s="34">
        <f>SUM(C14:F14)</f>
        <v>16</v>
      </c>
      <c r="C14" s="34">
        <v>4</v>
      </c>
      <c r="D14" s="34">
        <v>4</v>
      </c>
      <c r="E14" s="34">
        <v>4</v>
      </c>
      <c r="F14" s="34">
        <v>4</v>
      </c>
      <c r="G14" s="48">
        <v>20</v>
      </c>
      <c r="H14" s="48"/>
      <c r="I14" s="48"/>
      <c r="J14" s="48">
        <v>5</v>
      </c>
      <c r="K14" s="48">
        <f>SUM(G14:J14)</f>
        <v>25</v>
      </c>
      <c r="L14" s="48">
        <f>+((C14+D14+E14+F14)-(G14+H14+I14+J14))*-1</f>
        <v>9</v>
      </c>
      <c r="M14" s="48">
        <v>39</v>
      </c>
    </row>
    <row r="15" spans="1:13">
      <c r="A15" s="51" t="s">
        <v>31</v>
      </c>
      <c r="B15" s="34">
        <f>SUM(C15:F15)</f>
        <v>10</v>
      </c>
      <c r="C15" s="34">
        <v>2</v>
      </c>
      <c r="D15" s="34">
        <v>2</v>
      </c>
      <c r="E15" s="34">
        <v>2</v>
      </c>
      <c r="F15" s="34">
        <v>4</v>
      </c>
      <c r="G15" s="48">
        <v>3</v>
      </c>
      <c r="H15" s="48">
        <v>1.5</v>
      </c>
      <c r="I15" s="48"/>
      <c r="J15" s="48">
        <v>6</v>
      </c>
      <c r="K15" s="48">
        <f>SUM(G15:J15)</f>
        <v>10.5</v>
      </c>
      <c r="L15" s="48">
        <f>+((C15+D15+E15+F15)-(G15+H15+I15+J15))*-1</f>
        <v>0.5</v>
      </c>
      <c r="M15" s="48">
        <v>31</v>
      </c>
    </row>
    <row r="16" spans="1:13">
      <c r="A16" s="51" t="s">
        <v>43</v>
      </c>
      <c r="B16" s="34">
        <f>SUM(C16:F16)</f>
        <v>10</v>
      </c>
      <c r="C16" s="34">
        <v>1</v>
      </c>
      <c r="D16" s="34">
        <v>2</v>
      </c>
      <c r="E16" s="34">
        <v>2</v>
      </c>
      <c r="F16" s="137">
        <v>5</v>
      </c>
      <c r="G16" s="48"/>
      <c r="H16" s="48">
        <v>4</v>
      </c>
      <c r="I16" s="138">
        <v>2.5</v>
      </c>
      <c r="J16" s="48">
        <v>4</v>
      </c>
      <c r="K16" s="48">
        <f>SUM(G16:J16)</f>
        <v>10.5</v>
      </c>
      <c r="L16" s="48">
        <f>+((C16+D16+E16+F16)-(G16+H16+I16+J16))*-1</f>
        <v>0.5</v>
      </c>
      <c r="M16" s="48">
        <v>24</v>
      </c>
    </row>
    <row r="17" spans="1:13">
      <c r="A17" s="51" t="s">
        <v>32</v>
      </c>
      <c r="B17" s="34">
        <f>SUM(C17:F17)</f>
        <v>10</v>
      </c>
      <c r="C17" s="34">
        <v>1</v>
      </c>
      <c r="D17" s="34">
        <v>2</v>
      </c>
      <c r="E17" s="34">
        <v>3</v>
      </c>
      <c r="F17" s="34">
        <v>4</v>
      </c>
      <c r="G17" s="48">
        <v>1</v>
      </c>
      <c r="H17" s="48"/>
      <c r="I17" s="48"/>
      <c r="J17" s="48">
        <v>3</v>
      </c>
      <c r="K17" s="48">
        <f>SUM(G17:J17)</f>
        <v>4</v>
      </c>
      <c r="L17" s="48">
        <f>+((C17+D17+E17+F17)-(G17+H17+I17+J17))*-1</f>
        <v>-6</v>
      </c>
      <c r="M17" s="48">
        <v>43</v>
      </c>
    </row>
    <row r="18" spans="1:13">
      <c r="A18" s="51" t="s">
        <v>98</v>
      </c>
      <c r="B18" s="34">
        <f>SUM(C18:F18)</f>
        <v>10</v>
      </c>
      <c r="C18" s="34">
        <v>1</v>
      </c>
      <c r="D18" s="34">
        <v>2</v>
      </c>
      <c r="E18" s="34">
        <v>3</v>
      </c>
      <c r="F18" s="34">
        <v>4</v>
      </c>
      <c r="G18" s="48">
        <v>2</v>
      </c>
      <c r="H18" s="48"/>
      <c r="I18" s="48">
        <v>0.5</v>
      </c>
      <c r="J18" s="48"/>
      <c r="K18" s="48">
        <f>SUM(G18:J18)</f>
        <v>2.5</v>
      </c>
      <c r="L18" s="48">
        <f>+((C18+D18+E18+F18)-(G18+H18+I18+J18))*-1</f>
        <v>-7.5</v>
      </c>
      <c r="M18" s="48">
        <v>19</v>
      </c>
    </row>
    <row r="19" spans="1:13">
      <c r="A19" s="51" t="s">
        <v>88</v>
      </c>
      <c r="B19" s="34">
        <f>SUM(C19:F19)</f>
        <v>10</v>
      </c>
      <c r="C19" s="34">
        <v>2</v>
      </c>
      <c r="D19" s="34">
        <v>2</v>
      </c>
      <c r="E19" s="34">
        <v>2</v>
      </c>
      <c r="F19" s="34">
        <v>4</v>
      </c>
      <c r="G19" s="48"/>
      <c r="H19" s="48"/>
      <c r="I19" s="48">
        <v>2</v>
      </c>
      <c r="J19" s="48">
        <v>8</v>
      </c>
      <c r="K19" s="48">
        <f>SUM(G19:J19)</f>
        <v>10</v>
      </c>
      <c r="L19" s="48">
        <f>+((C19+D19+E19+F19)-(G19+H19+I19+J19))*-1</f>
        <v>0</v>
      </c>
      <c r="M19" s="48">
        <v>34</v>
      </c>
    </row>
    <row r="20" spans="1:13">
      <c r="A20" s="53" t="s">
        <v>33</v>
      </c>
      <c r="B20" s="34">
        <f>SUM(C20:F20)</f>
        <v>10</v>
      </c>
      <c r="C20" s="34">
        <v>1</v>
      </c>
      <c r="D20" s="34">
        <v>2</v>
      </c>
      <c r="E20" s="34">
        <v>2</v>
      </c>
      <c r="F20" s="34">
        <v>5</v>
      </c>
      <c r="G20" s="35">
        <v>0.5</v>
      </c>
      <c r="H20" s="158">
        <v>2</v>
      </c>
      <c r="I20" s="35">
        <v>2</v>
      </c>
      <c r="J20" s="48">
        <v>15.5</v>
      </c>
      <c r="K20" s="35">
        <f>SUM(G20:J20)</f>
        <v>20</v>
      </c>
      <c r="L20" s="48">
        <f>+((C20+D20+E20+F20)-(G20+H20+I20+J20))*-1</f>
        <v>10</v>
      </c>
      <c r="M20" s="35">
        <v>24</v>
      </c>
    </row>
    <row r="21" spans="1:13">
      <c r="A21" s="53" t="s">
        <v>35</v>
      </c>
      <c r="B21" s="34">
        <f>SUM(C21:F21)</f>
        <v>10</v>
      </c>
      <c r="C21" s="34">
        <v>2</v>
      </c>
      <c r="D21" s="34">
        <v>2</v>
      </c>
      <c r="E21" s="34">
        <v>3</v>
      </c>
      <c r="F21" s="34">
        <v>3</v>
      </c>
      <c r="G21" s="35"/>
      <c r="H21" s="35"/>
      <c r="I21" s="35"/>
      <c r="J21" s="35">
        <v>15.5</v>
      </c>
      <c r="K21" s="35">
        <f>SUM(G21:J21)</f>
        <v>15.5</v>
      </c>
      <c r="L21" s="48">
        <f>+((C21+D21+E21+F21)-(G21+H21+I21+J21))*-1</f>
        <v>5.5</v>
      </c>
      <c r="M21" s="35"/>
    </row>
    <row r="22" spans="1:13">
      <c r="A22" s="53" t="s">
        <v>37</v>
      </c>
      <c r="B22" s="34"/>
      <c r="C22" s="34"/>
      <c r="D22" s="34"/>
      <c r="E22" s="34"/>
      <c r="F22" s="34"/>
      <c r="G22" s="35"/>
      <c r="H22" s="35"/>
      <c r="I22" s="35"/>
      <c r="J22" s="35">
        <v>2</v>
      </c>
      <c r="K22" s="35">
        <f>SUM(G22:J22)</f>
        <v>2</v>
      </c>
      <c r="L22" s="48">
        <f>+((C22+D22+E22+F22)-(G22+H22+I22+J22))*-1</f>
        <v>2</v>
      </c>
      <c r="M22" s="35"/>
    </row>
    <row r="23" spans="1:13">
      <c r="A23" s="53" t="s">
        <v>38</v>
      </c>
      <c r="B23" s="34">
        <f>SUM(C23:F23)</f>
        <v>30</v>
      </c>
      <c r="C23" s="34">
        <v>5</v>
      </c>
      <c r="D23" s="34">
        <v>7</v>
      </c>
      <c r="E23" s="34">
        <v>8</v>
      </c>
      <c r="F23" s="34">
        <v>10</v>
      </c>
      <c r="G23" s="38">
        <v>1</v>
      </c>
      <c r="H23" s="35">
        <v>4</v>
      </c>
      <c r="I23" s="35">
        <v>2</v>
      </c>
      <c r="J23" s="35">
        <v>30</v>
      </c>
      <c r="K23" s="35">
        <f>SUM(G23:J23)</f>
        <v>37</v>
      </c>
      <c r="L23" s="48">
        <f>+((C23+D23+E23+F23)-(G23+H23+I23+J23))*-1</f>
        <v>7</v>
      </c>
      <c r="M23" s="35">
        <v>21</v>
      </c>
    </row>
    <row r="24" spans="1:13">
      <c r="A24" s="54" t="s">
        <v>39</v>
      </c>
      <c r="B24" s="147">
        <f>SUM(B8:B23)</f>
        <v>190</v>
      </c>
      <c r="C24" s="147">
        <f>SUM(C8:C23)</f>
        <v>38</v>
      </c>
      <c r="D24" s="147">
        <f t="shared" ref="D24:M24" si="3">SUM(D8:D23)</f>
        <v>42</v>
      </c>
      <c r="E24" s="147">
        <f>SUM(E8:E23)</f>
        <v>51</v>
      </c>
      <c r="F24" s="147">
        <f>SUM(F8:F23)</f>
        <v>59</v>
      </c>
      <c r="G24" s="147">
        <f>SUM(G8:G23)</f>
        <v>44</v>
      </c>
      <c r="H24" s="147">
        <f>SUM(H8:H23)</f>
        <v>37</v>
      </c>
      <c r="I24" s="147">
        <f>SUM(I8:I23)</f>
        <v>19.5</v>
      </c>
      <c r="J24" s="147">
        <f>SUM(J8:J23)</f>
        <v>112</v>
      </c>
      <c r="K24" s="108">
        <f>SUM(G24:J24)</f>
        <v>212.5</v>
      </c>
      <c r="L24" s="78">
        <f>+((C24+D24+E24+F24)-(G24+H24+I24+J24))*-1</f>
        <v>22.5</v>
      </c>
      <c r="M24" s="147">
        <f>SUM(M8:M23)</f>
        <v>431</v>
      </c>
    </row>
    <row r="25" spans="1:15">
      <c r="A25" s="148" t="s">
        <v>40</v>
      </c>
      <c r="B25" s="149"/>
      <c r="C25" s="23" t="s">
        <v>14</v>
      </c>
      <c r="D25" s="23"/>
      <c r="E25" s="23"/>
      <c r="F25" s="24"/>
      <c r="G25" s="11" t="s">
        <v>15</v>
      </c>
      <c r="H25" s="23"/>
      <c r="I25" s="23"/>
      <c r="J25" s="24"/>
      <c r="K25" s="63"/>
      <c r="L25" s="64"/>
      <c r="M25" s="107"/>
      <c r="N25" s="89"/>
      <c r="O25" s="90"/>
    </row>
    <row r="26" ht="25.5" spans="1:15">
      <c r="A26" s="25" t="s">
        <v>16</v>
      </c>
      <c r="B26" s="25" t="s">
        <v>17</v>
      </c>
      <c r="C26" s="25" t="s">
        <v>18</v>
      </c>
      <c r="D26" s="25" t="s">
        <v>19</v>
      </c>
      <c r="E26" s="25" t="s">
        <v>20</v>
      </c>
      <c r="F26" s="25" t="s">
        <v>57</v>
      </c>
      <c r="G26" s="25" t="s">
        <v>18</v>
      </c>
      <c r="H26" s="25" t="s">
        <v>73</v>
      </c>
      <c r="I26" s="25" t="s">
        <v>74</v>
      </c>
      <c r="J26" s="25" t="s">
        <v>75</v>
      </c>
      <c r="K26" s="25" t="s">
        <v>22</v>
      </c>
      <c r="L26" s="25" t="s">
        <v>41</v>
      </c>
      <c r="M26" s="25" t="s">
        <v>42</v>
      </c>
      <c r="N26" s="89"/>
      <c r="O26" s="90"/>
    </row>
    <row r="27" spans="1:15">
      <c r="A27" s="29" t="s">
        <v>25</v>
      </c>
      <c r="B27" s="48">
        <f>SUM(C27:F27)</f>
        <v>10.5</v>
      </c>
      <c r="C27" s="35">
        <v>2</v>
      </c>
      <c r="D27" s="34">
        <v>2.25</v>
      </c>
      <c r="E27" s="34">
        <v>2.75</v>
      </c>
      <c r="F27" s="34">
        <v>3.5</v>
      </c>
      <c r="G27" s="49">
        <f>(42200+22000+63900+84400+26600+19800)/100000</f>
        <v>2.589</v>
      </c>
      <c r="H27" s="50">
        <f>(20200+41100+33900+20700+14150+62900+54400)/100000</f>
        <v>2.4735</v>
      </c>
      <c r="I27" s="50">
        <f>(18900+42900+26850+22000+28700+30200)/100000</f>
        <v>1.6955</v>
      </c>
      <c r="J27" s="50">
        <f>(21200+121400+35140+39220+42400+13400+61200+44100)/100000</f>
        <v>3.7806</v>
      </c>
      <c r="K27" s="50">
        <f t="shared" ref="K27:K41" si="4">SUM(G27:J27)</f>
        <v>10.5386</v>
      </c>
      <c r="L27" s="50">
        <f>+((C27+D27+E27+F27)-(G27+H27+I27+J27))*-1</f>
        <v>0.0386000000000006</v>
      </c>
      <c r="M27" s="91">
        <f>+K27/B27</f>
        <v>1.00367619047619</v>
      </c>
      <c r="N27" s="89"/>
      <c r="O27" s="90"/>
    </row>
    <row r="28" spans="1:15">
      <c r="A28" s="29" t="s">
        <v>26</v>
      </c>
      <c r="B28" s="48">
        <f t="shared" ref="B28:B41" si="5">SUM(C28:F28)</f>
        <v>11</v>
      </c>
      <c r="C28" s="35">
        <v>2</v>
      </c>
      <c r="D28" s="34">
        <v>3</v>
      </c>
      <c r="E28" s="34">
        <v>2.5</v>
      </c>
      <c r="F28" s="34">
        <v>3.5</v>
      </c>
      <c r="G28" s="129">
        <f>(5200+11000+30500+29400+40500+44200)/100000</f>
        <v>1.608</v>
      </c>
      <c r="H28" s="130">
        <f>(44900+23200+106400+29900+49900+34300+18000)/100000</f>
        <v>3.066</v>
      </c>
      <c r="I28" s="50">
        <f>(10500+32700+45800+49340+56300)/100000</f>
        <v>1.9464</v>
      </c>
      <c r="J28" s="134">
        <f>(97300+82100+39300+24500+31000+70000+20000+53600)/100000</f>
        <v>4.178</v>
      </c>
      <c r="K28" s="50">
        <f>SUM(G28:J28)</f>
        <v>10.7984</v>
      </c>
      <c r="L28" s="50">
        <f t="shared" ref="L28:L42" si="6">+((C28+D28+E28+F28)-(G28+H28+I28+J28))*-1</f>
        <v>-0.201600000000001</v>
      </c>
      <c r="M28" s="91">
        <f>+K28/B28</f>
        <v>0.981672727272727</v>
      </c>
      <c r="N28" s="92"/>
      <c r="O28" s="93"/>
    </row>
    <row r="29" spans="1:15">
      <c r="A29" s="29" t="s">
        <v>27</v>
      </c>
      <c r="B29" s="48">
        <f>SUM(C29:F29)</f>
        <v>8</v>
      </c>
      <c r="C29" s="34">
        <v>1.5</v>
      </c>
      <c r="D29" s="34">
        <v>2</v>
      </c>
      <c r="E29" s="34">
        <v>1.5</v>
      </c>
      <c r="F29" s="34">
        <v>3</v>
      </c>
      <c r="G29" s="129">
        <f>(7700+10300+15200+17200+20700+16120)/100000</f>
        <v>0.8722</v>
      </c>
      <c r="H29" s="50">
        <f>(22000+7200+47500+63500+25930+21800+25780)/100000</f>
        <v>2.1371</v>
      </c>
      <c r="I29" s="50">
        <f>(15081+11500+23300+46600+35600+139600)/100000</f>
        <v>2.71681</v>
      </c>
      <c r="J29" s="134">
        <f>(17700+78100+21900+33600+12500+14600+24600+24800)/100000</f>
        <v>2.278</v>
      </c>
      <c r="K29" s="50">
        <f>SUM(G29:J29)</f>
        <v>8.00411</v>
      </c>
      <c r="L29" s="50">
        <f>+((C29+D29+E29+F29)-(G29+H29+I29+J29))*-1</f>
        <v>0.00411000000000072</v>
      </c>
      <c r="M29" s="91">
        <f t="shared" ref="M29:M42" si="7">+K29/B29</f>
        <v>1.00051375</v>
      </c>
      <c r="N29" s="92"/>
      <c r="O29" s="93"/>
    </row>
    <row r="30" spans="1:15">
      <c r="A30" s="29" t="s">
        <v>28</v>
      </c>
      <c r="B30" s="48">
        <f>SUM(C30:F30)</f>
        <v>7</v>
      </c>
      <c r="C30" s="34">
        <v>1.25</v>
      </c>
      <c r="D30" s="34">
        <v>1.75</v>
      </c>
      <c r="E30" s="34">
        <v>1.5</v>
      </c>
      <c r="F30" s="34">
        <v>2.5</v>
      </c>
      <c r="G30" s="129">
        <f>(8700+9800+9550+11300+24000+20500)/100000</f>
        <v>0.8385</v>
      </c>
      <c r="H30" s="140">
        <f>(6100+14200+28300+35300+34700+17600+17050)/100000</f>
        <v>1.5325</v>
      </c>
      <c r="I30" s="50">
        <f>(31800+33700+24100+14700+14600+13000)/100000</f>
        <v>1.319</v>
      </c>
      <c r="J30" s="134">
        <f>(29500+61100+31850+29100+19700+18700+69200+77000)/100000</f>
        <v>3.3615</v>
      </c>
      <c r="K30" s="50">
        <f>SUM(G30:J30)</f>
        <v>7.0515</v>
      </c>
      <c r="L30" s="50">
        <f>+((C30+D30+E30+F30)-(G30+H30+I30+J30))*-1</f>
        <v>0.0514999999999999</v>
      </c>
      <c r="M30" s="91">
        <f>+K30/B30</f>
        <v>1.00735714285714</v>
      </c>
      <c r="N30" s="92"/>
      <c r="O30" s="93"/>
    </row>
    <row r="31" spans="1:15">
      <c r="A31" s="29" t="s">
        <v>29</v>
      </c>
      <c r="B31" s="48">
        <f>SUM(C31:F31)</f>
        <v>2.3</v>
      </c>
      <c r="C31" s="34">
        <v>0.25</v>
      </c>
      <c r="D31" s="34">
        <v>0.8</v>
      </c>
      <c r="E31" s="34">
        <v>0.5</v>
      </c>
      <c r="F31" s="34">
        <v>0.75</v>
      </c>
      <c r="G31" s="129">
        <f>(53400)/100000</f>
        <v>0.534</v>
      </c>
      <c r="H31" s="50">
        <f>(8800+150+15700+16600)/100000</f>
        <v>0.4125</v>
      </c>
      <c r="I31" s="50">
        <f>(2000+28400+14160)/100000</f>
        <v>0.4456</v>
      </c>
      <c r="J31" s="134">
        <f>(13200+29800+33000+2200)/100000</f>
        <v>0.782</v>
      </c>
      <c r="K31" s="50">
        <f>SUM(G31:J31)</f>
        <v>2.1741</v>
      </c>
      <c r="L31" s="50">
        <f>+((C31+D31+E31+F31)-(G31+H31+I31+J31))*-1</f>
        <v>-0.1259</v>
      </c>
      <c r="M31" s="91">
        <f>+K31/B31</f>
        <v>0.945260869565218</v>
      </c>
      <c r="N31" s="92"/>
      <c r="O31" s="93"/>
    </row>
    <row r="32" spans="1:15">
      <c r="A32" s="29" t="s">
        <v>87</v>
      </c>
      <c r="B32" s="48">
        <f>SUM(C32:F32)</f>
        <v>0.5</v>
      </c>
      <c r="C32" s="34">
        <v>0.1</v>
      </c>
      <c r="D32" s="34">
        <v>0.1</v>
      </c>
      <c r="E32" s="34">
        <v>0.1</v>
      </c>
      <c r="F32" s="34">
        <v>0.2</v>
      </c>
      <c r="G32" s="129">
        <f>(4650+27050)/100000</f>
        <v>0.317</v>
      </c>
      <c r="H32" s="50">
        <f>(6400+200+12500+5600+14800)/100000</f>
        <v>0.395</v>
      </c>
      <c r="I32" s="50">
        <f>(18400+43500+9250)/100000</f>
        <v>0.7115</v>
      </c>
      <c r="J32" s="134">
        <f>(4650+2900)/100000</f>
        <v>0.0755</v>
      </c>
      <c r="K32" s="50">
        <f>SUM(G32:J32)</f>
        <v>1.499</v>
      </c>
      <c r="L32" s="50">
        <f>+((C32+D32+E32+F32)-(G32+H32+I32+J32))*-1</f>
        <v>0.999</v>
      </c>
      <c r="M32" s="91">
        <f>+K32/B32</f>
        <v>2.998</v>
      </c>
      <c r="N32" s="92"/>
      <c r="O32" s="93"/>
    </row>
    <row r="33" spans="1:15">
      <c r="A33" s="51" t="s">
        <v>30</v>
      </c>
      <c r="B33" s="48">
        <f>SUM(C33:F33)</f>
        <v>7.5</v>
      </c>
      <c r="C33" s="35">
        <v>1.8</v>
      </c>
      <c r="D33" s="52">
        <v>1.5</v>
      </c>
      <c r="E33" s="52">
        <v>1.5</v>
      </c>
      <c r="F33" s="52">
        <v>2.7</v>
      </c>
      <c r="G33" s="129">
        <f>(106720+45300+15400+146800)/100000</f>
        <v>3.1422</v>
      </c>
      <c r="H33" s="50">
        <f>(17600+64960+10000+20000+27000)/100000</f>
        <v>1.3956</v>
      </c>
      <c r="I33" s="50">
        <f>(28800+2000+4400+27500+59400)/100000</f>
        <v>1.221</v>
      </c>
      <c r="J33" s="134">
        <f>(5000+65500+9800+65200+49000+82000)/100000</f>
        <v>2.765</v>
      </c>
      <c r="K33" s="50">
        <f>SUM(G33:J33)</f>
        <v>8.5238</v>
      </c>
      <c r="L33" s="50">
        <f>+((C33+D33+E33+F33)-(G33+H33+I33+J33))*-1</f>
        <v>1.0238</v>
      </c>
      <c r="M33" s="91">
        <f>+K33/B33</f>
        <v>1.13650666666667</v>
      </c>
      <c r="N33" s="94"/>
      <c r="O33" s="95"/>
    </row>
    <row r="34" spans="1:15">
      <c r="A34" s="51" t="s">
        <v>31</v>
      </c>
      <c r="B34" s="48">
        <f>SUM(C34:F34)</f>
        <v>5</v>
      </c>
      <c r="C34" s="35">
        <v>1</v>
      </c>
      <c r="D34" s="52">
        <v>1.25</v>
      </c>
      <c r="E34" s="52">
        <v>1</v>
      </c>
      <c r="F34" s="52">
        <v>1.75</v>
      </c>
      <c r="G34" s="129">
        <f>(17300+15600+14500+30270+12700+18100)/100000</f>
        <v>1.0847</v>
      </c>
      <c r="H34" s="50">
        <f>(40050+21900+32300+15200+22250+14050+16200)/100000</f>
        <v>1.6195</v>
      </c>
      <c r="I34" s="50">
        <f>(14800+11560+13450+11700+25400+31950)/100000</f>
        <v>1.0886</v>
      </c>
      <c r="J34" s="134">
        <f>(12150+11450+26450+22750+15550+20950+23800+19800)/100000</f>
        <v>1.529</v>
      </c>
      <c r="K34" s="50">
        <f>SUM(G34:J34)</f>
        <v>5.3218</v>
      </c>
      <c r="L34" s="50">
        <f>+((C34+D34+E34+F34)-(G34+H34+I34+J34))*-1</f>
        <v>0.3218</v>
      </c>
      <c r="M34" s="91">
        <f>+K34/B34</f>
        <v>1.06436</v>
      </c>
      <c r="N34" s="92"/>
      <c r="O34" s="93"/>
    </row>
    <row r="35" spans="1:15">
      <c r="A35" s="51" t="s">
        <v>32</v>
      </c>
      <c r="B35" s="48">
        <f>SUM(C35:F35)</f>
        <v>7</v>
      </c>
      <c r="C35" s="35">
        <v>1.5</v>
      </c>
      <c r="D35" s="52">
        <v>1.9</v>
      </c>
      <c r="E35" s="52">
        <v>1.3</v>
      </c>
      <c r="F35" s="52">
        <v>2.3</v>
      </c>
      <c r="G35" s="129">
        <f>(14300+17000+11500+36900+26950+16800)/100000</f>
        <v>1.2345</v>
      </c>
      <c r="H35" s="50">
        <f>(25200+22100+31100+19300+12300+20100+19350)/100000</f>
        <v>1.4945</v>
      </c>
      <c r="I35" s="50">
        <f>(44200+19500+26400+21900+17700+23800)/100000</f>
        <v>1.535</v>
      </c>
      <c r="J35" s="134">
        <f>(42700+34700+27900+31100+14650+15800+30850+37700)/100000</f>
        <v>2.354</v>
      </c>
      <c r="K35" s="50">
        <f>SUM(G35:J35)</f>
        <v>6.618</v>
      </c>
      <c r="L35" s="50">
        <f>+((C35+D35+E35+F35)-(G35+H35+I35+J35))*-1</f>
        <v>-0.382</v>
      </c>
      <c r="M35" s="91">
        <f>+K35/B35</f>
        <v>0.945428571428572</v>
      </c>
      <c r="N35" s="92"/>
      <c r="O35" s="93"/>
    </row>
    <row r="36" spans="1:15">
      <c r="A36" s="51" t="s">
        <v>98</v>
      </c>
      <c r="B36" s="48">
        <f>SUM(C36:F36)</f>
        <v>4.7</v>
      </c>
      <c r="C36" s="35">
        <v>1.3</v>
      </c>
      <c r="D36" s="52">
        <v>1</v>
      </c>
      <c r="E36" s="52">
        <v>1</v>
      </c>
      <c r="F36" s="52">
        <v>1.4</v>
      </c>
      <c r="G36" s="129">
        <f>(14160+63900+15300+28850+15500+22800)/100000</f>
        <v>1.6051</v>
      </c>
      <c r="H36" s="50">
        <f>(10600+13300+20410+1800+21300+22900+42850)/100000</f>
        <v>1.3316</v>
      </c>
      <c r="I36" s="50">
        <f>(10300+16500+14600+27200+21700+21000)/100000</f>
        <v>1.113</v>
      </c>
      <c r="J36" s="134">
        <f>(28600+33000+17700+14450+23400+12400+19700+3850)/100000</f>
        <v>1.531</v>
      </c>
      <c r="K36" s="50">
        <f>SUM(G36:J36)</f>
        <v>5.5807</v>
      </c>
      <c r="L36" s="50">
        <f>+((C36+D36+E36+F36)-(G36+H36+I36+J36))*-1</f>
        <v>0.8807</v>
      </c>
      <c r="M36" s="91">
        <f>+K36/B36</f>
        <v>1.1873829787234</v>
      </c>
      <c r="N36" s="92"/>
      <c r="O36" s="93"/>
    </row>
    <row r="37" spans="1:15">
      <c r="A37" s="51" t="s">
        <v>43</v>
      </c>
      <c r="B37" s="48">
        <f>SUM(C37:F37)</f>
        <v>7.5</v>
      </c>
      <c r="C37" s="35">
        <v>1.5</v>
      </c>
      <c r="D37" s="52">
        <v>1.8</v>
      </c>
      <c r="E37" s="52">
        <v>1.7</v>
      </c>
      <c r="F37" s="52">
        <v>2.5</v>
      </c>
      <c r="G37" s="129">
        <f>(12558+13750+26250+13400+12300+13000)/100000</f>
        <v>0.91258</v>
      </c>
      <c r="H37" s="50">
        <f>(12300+29400+42800+16400+46080+35600+20200)/100000</f>
        <v>2.0278</v>
      </c>
      <c r="I37" s="50">
        <f>(8800+16600+35700+44500+40800+20200)/100000</f>
        <v>1.666</v>
      </c>
      <c r="J37" s="134">
        <f>(23200+14000+29750+43850+20735+59700+16000+110157)/100000</f>
        <v>3.17392</v>
      </c>
      <c r="K37" s="50">
        <f>SUM(G37:J37)</f>
        <v>7.7803</v>
      </c>
      <c r="L37" s="50">
        <f>+((C37+D37+E37+F37)-(G37+H37+I37+J37))*-1</f>
        <v>0.2803</v>
      </c>
      <c r="M37" s="91">
        <f>+K37/B37</f>
        <v>1.03737333333333</v>
      </c>
      <c r="N37" s="92"/>
      <c r="O37" s="93"/>
    </row>
    <row r="38" spans="1:15">
      <c r="A38" s="51" t="s">
        <v>88</v>
      </c>
      <c r="B38" s="48">
        <f ca="1">SUM(C38:D38:E38:F38)</f>
        <v>3.5</v>
      </c>
      <c r="C38" s="35">
        <v>0.75</v>
      </c>
      <c r="D38" s="52">
        <v>0.75</v>
      </c>
      <c r="E38" s="52">
        <v>1</v>
      </c>
      <c r="F38" s="52">
        <v>1</v>
      </c>
      <c r="G38" s="129">
        <f>(9900+10220+18000+12300+10800+23200)/100000</f>
        <v>0.8442</v>
      </c>
      <c r="H38" s="50">
        <f>(13660+12700+25500+18900+13650+14950+9800)/100000</f>
        <v>1.0916</v>
      </c>
      <c r="I38" s="50">
        <f>(14300+10150+14100+22150+18200+11600)/100000</f>
        <v>0.905</v>
      </c>
      <c r="J38" s="134">
        <f>(15100+37500+19050+14400+9800+16700+17550+11600)/100000</f>
        <v>1.417</v>
      </c>
      <c r="K38" s="50">
        <f>SUM(G38:J38)</f>
        <v>4.2578</v>
      </c>
      <c r="L38" s="50">
        <f>+((C38+D38+E38+F38)-(G38+H38+I38+J38))*-1</f>
        <v>0.7578</v>
      </c>
      <c r="M38" s="91">
        <f ca="1">+K38/B38</f>
        <v>1.21651428571429</v>
      </c>
      <c r="N38" s="92"/>
      <c r="O38" s="93"/>
    </row>
    <row r="39" spans="1:15">
      <c r="A39" s="53" t="s">
        <v>37</v>
      </c>
      <c r="B39" s="48">
        <f>SUM(C39:F39)</f>
        <v>1</v>
      </c>
      <c r="C39" s="35">
        <v>0.25</v>
      </c>
      <c r="D39" s="52">
        <v>0.25</v>
      </c>
      <c r="E39" s="52">
        <v>0.25</v>
      </c>
      <c r="F39" s="52">
        <v>0.25</v>
      </c>
      <c r="G39" s="129">
        <f>(8800+15000+6600+22000)/100000</f>
        <v>0.524</v>
      </c>
      <c r="H39" s="50"/>
      <c r="I39" s="50"/>
      <c r="J39" s="134">
        <f>(6600+10000+24200)/100000</f>
        <v>0.408</v>
      </c>
      <c r="K39" s="50">
        <f>SUM(G39:J39)</f>
        <v>0.932</v>
      </c>
      <c r="L39" s="50">
        <f>+((C39+D39+E39+F39)-(G39+H39+I39+J39))*-1</f>
        <v>-0.0680000000000001</v>
      </c>
      <c r="M39" s="91">
        <f>+K39/B39</f>
        <v>0.932</v>
      </c>
      <c r="N39" s="92"/>
      <c r="O39" s="93"/>
    </row>
    <row r="40" spans="1:15">
      <c r="A40" s="53" t="s">
        <v>35</v>
      </c>
      <c r="B40" s="48">
        <f>SUM(C40:F40)</f>
        <v>3.5</v>
      </c>
      <c r="C40" s="35">
        <v>0.75</v>
      </c>
      <c r="D40" s="52">
        <v>0.75</v>
      </c>
      <c r="E40" s="52">
        <v>0.75</v>
      </c>
      <c r="F40" s="52">
        <v>1.25</v>
      </c>
      <c r="G40" s="129">
        <f>(8800)/100000</f>
        <v>0.088</v>
      </c>
      <c r="H40" s="50">
        <f>(17600+105600+22000)/100000</f>
        <v>1.452</v>
      </c>
      <c r="I40" s="50"/>
      <c r="J40" s="134">
        <f>(149600+77500+22000)/100000</f>
        <v>2.491</v>
      </c>
      <c r="K40" s="50">
        <f>SUM(G40:J40)</f>
        <v>4.031</v>
      </c>
      <c r="L40" s="50">
        <f>+((C40+D40+E40+F40)-(G40+H40+I40+J40))*-1</f>
        <v>0.531000000000001</v>
      </c>
      <c r="M40" s="91">
        <f>+K40/B40</f>
        <v>1.15171428571429</v>
      </c>
      <c r="N40" s="92"/>
      <c r="O40" s="93"/>
    </row>
    <row r="41" spans="1:15">
      <c r="A41" s="53" t="s">
        <v>38</v>
      </c>
      <c r="B41" s="48">
        <f>SUM(C41:F41)</f>
        <v>13</v>
      </c>
      <c r="C41" s="35">
        <v>2.5</v>
      </c>
      <c r="D41" s="52">
        <v>2.75</v>
      </c>
      <c r="E41" s="52">
        <v>3.25</v>
      </c>
      <c r="F41" s="52">
        <v>4.5</v>
      </c>
      <c r="G41" s="129">
        <f>(18200+19800+200+2195+61120+221500)/100000</f>
        <v>3.23015</v>
      </c>
      <c r="H41" s="50">
        <f>(26900+22725+51600+62600+28800+22800+60400)/100000</f>
        <v>2.75825</v>
      </c>
      <c r="I41" s="50">
        <f>(28813+5000+39600+77000+36000+91113+8000+66320)/100000</f>
        <v>3.51846</v>
      </c>
      <c r="J41" s="134">
        <f>(20000+2450+52200+249435+52600+29435+8990+31920)/100000</f>
        <v>4.4703</v>
      </c>
      <c r="K41" s="50">
        <f>SUM(G41:J41)</f>
        <v>13.97716</v>
      </c>
      <c r="L41" s="50">
        <f>+((C41+D41+E41+F41)-(G41+H41+I41+J41))*-1</f>
        <v>0.97716</v>
      </c>
      <c r="M41" s="91">
        <f>+K41/B41</f>
        <v>1.07516615384615</v>
      </c>
      <c r="N41" s="92"/>
      <c r="O41" s="93"/>
    </row>
    <row r="42" spans="1:15">
      <c r="A42" s="54" t="s">
        <v>44</v>
      </c>
      <c r="B42" s="48">
        <f ca="1" t="shared" ref="B42:K42" si="8">SUM(B27:B41)</f>
        <v>92</v>
      </c>
      <c r="C42" s="35">
        <f>SUM(C27:C41)</f>
        <v>18.45</v>
      </c>
      <c r="D42" s="48">
        <f>SUM(D27:D41)</f>
        <v>21.85</v>
      </c>
      <c r="E42" s="48">
        <f>SUM(E27:E41)</f>
        <v>20.6</v>
      </c>
      <c r="F42" s="48">
        <f>SUM(F27:F41)</f>
        <v>31.1</v>
      </c>
      <c r="G42" s="131">
        <f>SUM(G27:G41)</f>
        <v>19.42413</v>
      </c>
      <c r="H42" s="50">
        <f>SUM(H27:H41)</f>
        <v>23.18745</v>
      </c>
      <c r="I42" s="50">
        <f>SUM(I27:I41)</f>
        <v>19.88187</v>
      </c>
      <c r="J42" s="134">
        <f>SUM(J27:J41)</f>
        <v>34.59482</v>
      </c>
      <c r="K42" s="135">
        <f>SUM(K27:K41)</f>
        <v>97.08827</v>
      </c>
      <c r="L42" s="50">
        <f>+((C42+D42+E42+F42)-(G42+H42+I42+J42))*-1</f>
        <v>5.08827000000001</v>
      </c>
      <c r="M42" s="154">
        <f ca="1">+K42/B42</f>
        <v>1.0553072826087</v>
      </c>
      <c r="N42" s="92"/>
      <c r="O42" s="93"/>
    </row>
    <row r="43" spans="1:15">
      <c r="A43" s="55"/>
      <c r="B43" s="56"/>
      <c r="C43" s="57"/>
      <c r="D43" s="57"/>
      <c r="N43" s="94"/>
      <c r="O43" s="95"/>
    </row>
    <row r="44" spans="14:15">
      <c r="N44" s="92"/>
      <c r="O44" s="93"/>
    </row>
    <row r="45" spans="14:15">
      <c r="N45" s="92"/>
      <c r="O45" s="93"/>
    </row>
    <row r="46" spans="14:15">
      <c r="N46" s="92"/>
      <c r="O46" s="93"/>
    </row>
    <row r="47" spans="14:15">
      <c r="N47" s="92"/>
      <c r="O47" s="93"/>
    </row>
    <row r="48" spans="14:15">
      <c r="N48" s="92"/>
      <c r="O48" s="93"/>
    </row>
    <row r="49" spans="14:15">
      <c r="N49" s="92"/>
      <c r="O49" s="93"/>
    </row>
    <row r="50" spans="14:15">
      <c r="N50" s="92"/>
      <c r="O50" s="93"/>
    </row>
    <row r="51" spans="14:15">
      <c r="N51" s="92"/>
      <c r="O51" s="93"/>
    </row>
    <row r="52" spans="14:15">
      <c r="N52" s="92"/>
      <c r="O52" s="93"/>
    </row>
    <row r="53" spans="14:15">
      <c r="N53" s="94"/>
      <c r="O53" s="95"/>
    </row>
    <row r="54" spans="14:15">
      <c r="N54" s="92"/>
      <c r="O54" s="93"/>
    </row>
    <row r="55" spans="14:15">
      <c r="N55" s="92"/>
      <c r="O55" s="93"/>
    </row>
    <row r="56" spans="14:15">
      <c r="N56" s="92"/>
      <c r="O56" s="93"/>
    </row>
    <row r="57" spans="14:15">
      <c r="N57" s="92"/>
      <c r="O57" s="93"/>
    </row>
    <row r="58" spans="14:15">
      <c r="N58" s="92"/>
      <c r="O58" s="93"/>
    </row>
    <row r="59" spans="14:15">
      <c r="N59" s="92"/>
      <c r="O59" s="93"/>
    </row>
    <row r="60" spans="14:15">
      <c r="N60" s="92"/>
      <c r="O60" s="93"/>
    </row>
    <row r="61" spans="14:15">
      <c r="N61" s="94"/>
      <c r="O61" s="95"/>
    </row>
    <row r="62" spans="14:15">
      <c r="N62" s="92"/>
      <c r="O62" s="93"/>
    </row>
    <row r="63" spans="14:15">
      <c r="N63" s="92"/>
      <c r="O63" s="93"/>
    </row>
    <row r="64" spans="14:15">
      <c r="N64" s="92"/>
      <c r="O64" s="93"/>
    </row>
    <row r="65" spans="14:15">
      <c r="N65" s="92"/>
      <c r="O65" s="93"/>
    </row>
    <row r="66" spans="14:15">
      <c r="N66" s="92"/>
      <c r="O66" s="93"/>
    </row>
    <row r="67" spans="14:15">
      <c r="N67" s="92"/>
      <c r="O67" s="93"/>
    </row>
    <row r="68" spans="14:15">
      <c r="N68" s="92"/>
      <c r="O68" s="93"/>
    </row>
    <row r="69" spans="14:15">
      <c r="N69" s="92"/>
      <c r="O69" s="96"/>
    </row>
  </sheetData>
  <mergeCells count="6">
    <mergeCell ref="B1:M1"/>
    <mergeCell ref="D5:F5"/>
    <mergeCell ref="C6:F6"/>
    <mergeCell ref="G6:J6"/>
    <mergeCell ref="C25:F25"/>
    <mergeCell ref="G25:J25"/>
  </mergeCells>
  <printOptions horizontalCentered="1" verticalCentered="1"/>
  <pageMargins left="0.708333333333333" right="0.196527777777778" top="0.747916666666667" bottom="0.747916666666667" header="0.314583333333333" footer="0.314583333333333"/>
  <pageSetup paperSize="9" scale="75" orientation="landscape" verticalDpi="18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38</vt:i4>
      </vt:variant>
    </vt:vector>
  </HeadingPairs>
  <TitlesOfParts>
    <vt:vector size="38" baseType="lpstr">
      <vt:lpstr>April 2011</vt:lpstr>
      <vt:lpstr>May 2011</vt:lpstr>
      <vt:lpstr>JUNE</vt:lpstr>
      <vt:lpstr>July</vt:lpstr>
      <vt:lpstr>August</vt:lpstr>
      <vt:lpstr>Sept</vt:lpstr>
      <vt:lpstr>Oct</vt:lpstr>
      <vt:lpstr>Nov</vt:lpstr>
      <vt:lpstr>Dec</vt:lpstr>
      <vt:lpstr>Jan</vt:lpstr>
      <vt:lpstr>Feb</vt:lpstr>
      <vt:lpstr>Mar</vt:lpstr>
      <vt:lpstr>April</vt:lpstr>
      <vt:lpstr>May</vt:lpstr>
      <vt:lpstr>June2012</vt:lpstr>
      <vt:lpstr>Sheet1</vt:lpstr>
      <vt:lpstr>July12</vt:lpstr>
      <vt:lpstr> August 12</vt:lpstr>
      <vt:lpstr>September 12</vt:lpstr>
      <vt:lpstr>Oct 12</vt:lpstr>
      <vt:lpstr>NOV12</vt:lpstr>
      <vt:lpstr>Dec 12</vt:lpstr>
      <vt:lpstr>JAN13</vt:lpstr>
      <vt:lpstr>FEB 13</vt:lpstr>
      <vt:lpstr>MAR 13</vt:lpstr>
      <vt:lpstr>APR 13</vt:lpstr>
      <vt:lpstr>MAY13</vt:lpstr>
      <vt:lpstr>JUNE 13</vt:lpstr>
      <vt:lpstr> JULY 13</vt:lpstr>
      <vt:lpstr>AUGUST 13</vt:lpstr>
      <vt:lpstr>SEPT 13</vt:lpstr>
      <vt:lpstr>OCT 13</vt:lpstr>
      <vt:lpstr>NOV 13</vt:lpstr>
      <vt:lpstr>DEC 13</vt:lpstr>
      <vt:lpstr>JAN14</vt:lpstr>
      <vt:lpstr>FEB14</vt:lpstr>
      <vt:lpstr>MAR 14</vt:lpstr>
      <vt:lpstr>APRIL 14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Administrator</cp:lastModifiedBy>
  <dcterms:created xsi:type="dcterms:W3CDTF">2014-06-03T11:11:23Z</dcterms:created>
  <dcterms:modified xsi:type="dcterms:W3CDTF">2014-06-03T12:11:33Z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1033-9.1.0.4480</vt:lpwstr>
  </property>
</Properties>
</file>